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29"/>
  <workbookPr filterPrivacy="1" saveExternalLinkValues="0" codeName="ThisWorkbook" defaultThemeVersion="124226"/>
  <xr:revisionPtr revIDLastSave="0" documentId="13_ncr:1_{33CC74F2-C1E7-4196-8F03-C0B1CFD31D45}" xr6:coauthVersionLast="45" xr6:coauthVersionMax="45" xr10:uidLastSave="{00000000-0000-0000-0000-000000000000}"/>
  <bookViews>
    <workbookView xWindow="-120" yWindow="-120" windowWidth="20730" windowHeight="11160" tabRatio="840" xr2:uid="{00000000-000D-0000-FFFF-FFFF00000000}"/>
  </bookViews>
  <sheets>
    <sheet name="Sheet1" sheetId="27" r:id="rId1"/>
    <sheet name="DV-IDENTITY-0" sheetId="28" state="veryHidden" r:id="rId2"/>
  </sheets>
  <definedNames>
    <definedName name="_100408">#REF!</definedName>
    <definedName name="_xlnm._FilterDatabase" localSheetId="0" hidden="1">Sheet1!$A$3:$I$19</definedName>
    <definedName name="_xlnm._FilterDatabase" hidden="1">#REF!</definedName>
    <definedName name="_xlnm.Print_Area">#REF!</definedName>
    <definedName name="_xlnm.Print_Title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26" i="28" l="1"/>
  <c r="B126" i="28"/>
  <c r="C126" i="28"/>
  <c r="D126" i="28"/>
  <c r="E126" i="28"/>
  <c r="F126" i="28"/>
  <c r="G126" i="28"/>
  <c r="H126" i="28"/>
  <c r="I126" i="28"/>
  <c r="J126" i="28"/>
  <c r="K126" i="28"/>
  <c r="L126" i="28"/>
  <c r="M126" i="28"/>
  <c r="N126" i="28"/>
  <c r="O126" i="28"/>
  <c r="P126" i="28"/>
  <c r="A125" i="28"/>
  <c r="B125" i="28"/>
  <c r="C125" i="28"/>
  <c r="D125" i="28"/>
  <c r="E125" i="28"/>
  <c r="F125" i="28"/>
  <c r="G125" i="28"/>
  <c r="H125" i="28"/>
  <c r="R125" i="28"/>
  <c r="S125" i="28"/>
  <c r="T125" i="28"/>
  <c r="U125" i="28"/>
  <c r="V125" i="28"/>
  <c r="W125" i="28"/>
  <c r="X125" i="28"/>
  <c r="Y125" i="28"/>
  <c r="Z125" i="28"/>
  <c r="AA125" i="28"/>
  <c r="AB125" i="28"/>
  <c r="A124" i="28"/>
  <c r="B124" i="28"/>
  <c r="C124" i="28"/>
  <c r="D124" i="28"/>
  <c r="E124" i="28"/>
  <c r="F124" i="28"/>
  <c r="G124" i="28"/>
  <c r="H124" i="28"/>
  <c r="I124" i="28"/>
  <c r="J124" i="28"/>
  <c r="K124" i="28"/>
  <c r="L124" i="28"/>
  <c r="M124" i="28"/>
  <c r="N124" i="28"/>
  <c r="O124" i="28"/>
  <c r="P124" i="28"/>
  <c r="Q124" i="28"/>
  <c r="R124" i="28"/>
  <c r="S124" i="28"/>
  <c r="T124" i="28"/>
  <c r="U124" i="28"/>
  <c r="V124" i="28"/>
  <c r="W124" i="28"/>
  <c r="X124" i="28"/>
  <c r="Y124" i="28"/>
  <c r="Z124" i="28"/>
  <c r="AA124" i="28"/>
  <c r="AB124" i="28"/>
  <c r="AC124" i="28"/>
  <c r="AD124" i="28"/>
  <c r="AE124" i="28"/>
  <c r="AF124" i="28"/>
  <c r="AG124" i="28"/>
  <c r="AH124" i="28"/>
  <c r="AI124" i="28"/>
  <c r="AJ124" i="28"/>
  <c r="AK124" i="28"/>
  <c r="AL124" i="28"/>
  <c r="AM124" i="28"/>
  <c r="AN124" i="28"/>
  <c r="AO124" i="28"/>
  <c r="AP124" i="28"/>
  <c r="AQ124" i="28"/>
  <c r="AR124" i="28"/>
  <c r="AS124" i="28"/>
  <c r="AT124" i="28"/>
  <c r="AU124" i="28"/>
  <c r="AV124" i="28"/>
  <c r="AW124" i="28"/>
  <c r="AX124" i="28"/>
  <c r="AY124" i="28"/>
  <c r="AZ124" i="28"/>
  <c r="BA124" i="28"/>
  <c r="BB124" i="28"/>
  <c r="BC124" i="28"/>
  <c r="BD124" i="28"/>
  <c r="BE124" i="28"/>
  <c r="BF124" i="28"/>
  <c r="BG124" i="28"/>
  <c r="BH124" i="28"/>
  <c r="BI124" i="28"/>
  <c r="BJ124" i="28"/>
  <c r="BK124" i="28"/>
  <c r="BL124" i="28"/>
  <c r="BM124" i="28"/>
  <c r="BN124" i="28"/>
  <c r="BO124" i="28"/>
  <c r="BP124" i="28"/>
  <c r="BQ124" i="28"/>
  <c r="BR124" i="28"/>
  <c r="BS124" i="28"/>
  <c r="BT124" i="28"/>
  <c r="BU124" i="28"/>
  <c r="BV124" i="28"/>
  <c r="BW124" i="28"/>
  <c r="BX124" i="28"/>
  <c r="BY124" i="28"/>
  <c r="BZ124" i="28"/>
  <c r="CA124" i="28"/>
  <c r="CB124" i="28"/>
  <c r="CC124" i="28"/>
  <c r="CD124" i="28"/>
  <c r="CE124" i="28"/>
  <c r="CF124" i="28"/>
  <c r="CG124" i="28"/>
  <c r="CH124" i="28"/>
  <c r="CI124" i="28"/>
  <c r="CJ124" i="28"/>
  <c r="CK124" i="28"/>
  <c r="CL124" i="28"/>
  <c r="CM124" i="28"/>
  <c r="CN124" i="28"/>
  <c r="CO124" i="28"/>
  <c r="CP124" i="28"/>
  <c r="CQ124" i="28"/>
  <c r="CR124" i="28"/>
  <c r="CS124" i="28"/>
  <c r="CT124" i="28"/>
  <c r="CU124" i="28"/>
  <c r="CV124" i="28"/>
  <c r="CW124" i="28"/>
  <c r="CX124" i="28"/>
  <c r="CY124" i="28"/>
  <c r="CZ124" i="28"/>
  <c r="DA124" i="28"/>
  <c r="DB124" i="28"/>
  <c r="DC124" i="28"/>
  <c r="DD124" i="28"/>
  <c r="DE124" i="28"/>
  <c r="DF124" i="28"/>
  <c r="DG124" i="28"/>
  <c r="DH124" i="28"/>
  <c r="DI124" i="28"/>
  <c r="DJ124" i="28"/>
  <c r="DK124" i="28"/>
  <c r="DL124" i="28"/>
  <c r="DM124" i="28"/>
  <c r="DN124" i="28"/>
  <c r="DO124" i="28"/>
  <c r="DP124" i="28"/>
  <c r="DQ124" i="28"/>
  <c r="DR124" i="28"/>
  <c r="DS124" i="28"/>
  <c r="DT124" i="28"/>
  <c r="DU124" i="28"/>
  <c r="DV124" i="28"/>
  <c r="DW124" i="28"/>
  <c r="DX124" i="28"/>
  <c r="DY124" i="28"/>
  <c r="DZ124" i="28"/>
  <c r="EA124" i="28"/>
  <c r="EB124" i="28"/>
  <c r="EC124" i="28"/>
  <c r="ED124" i="28"/>
  <c r="EE124" i="28"/>
  <c r="EF124" i="28"/>
  <c r="EG124" i="28"/>
  <c r="EH124" i="28"/>
  <c r="EI124" i="28"/>
  <c r="EJ124" i="28"/>
  <c r="EK124" i="28"/>
  <c r="EL124" i="28"/>
  <c r="EM124" i="28"/>
  <c r="EN124" i="28"/>
  <c r="EO124" i="28"/>
  <c r="EP124" i="28"/>
  <c r="EQ124" i="28"/>
  <c r="ER124" i="28"/>
  <c r="ES124" i="28"/>
  <c r="ET124" i="28"/>
  <c r="EU124" i="28"/>
  <c r="EV124" i="28"/>
  <c r="EW124" i="28"/>
  <c r="EX124" i="28"/>
  <c r="EY124" i="28"/>
  <c r="EZ124" i="28"/>
  <c r="FA124" i="28"/>
  <c r="FB124" i="28"/>
  <c r="FC124" i="28"/>
  <c r="FD124" i="28"/>
  <c r="FE124" i="28"/>
  <c r="FF124" i="28"/>
  <c r="FG124" i="28"/>
  <c r="FH124" i="28"/>
  <c r="FI124" i="28"/>
  <c r="FJ124" i="28"/>
  <c r="FK124" i="28"/>
  <c r="FL124" i="28"/>
  <c r="FM124" i="28"/>
  <c r="FN124" i="28"/>
  <c r="FO124" i="28"/>
  <c r="FP124" i="28"/>
  <c r="FQ124" i="28"/>
  <c r="FR124" i="28"/>
  <c r="FS124" i="28"/>
  <c r="FT124" i="28"/>
  <c r="FU124" i="28"/>
  <c r="FV124" i="28"/>
  <c r="FW124" i="28"/>
  <c r="FX124" i="28"/>
  <c r="FY124" i="28"/>
  <c r="FZ124" i="28"/>
  <c r="GA124" i="28"/>
  <c r="GB124" i="28"/>
  <c r="GC124" i="28"/>
  <c r="GD124" i="28"/>
  <c r="GE124" i="28"/>
  <c r="GF124" i="28"/>
  <c r="GG124" i="28"/>
  <c r="GH124" i="28"/>
  <c r="GI124" i="28"/>
  <c r="GJ124" i="28"/>
  <c r="GK124" i="28"/>
  <c r="GL124" i="28"/>
  <c r="GM124" i="28"/>
  <c r="GN124" i="28"/>
  <c r="GO124" i="28"/>
  <c r="GP124" i="28"/>
  <c r="GQ124" i="28"/>
  <c r="GR124" i="28"/>
  <c r="GS124" i="28"/>
  <c r="GT124" i="28"/>
  <c r="GU124" i="28"/>
  <c r="GV124" i="28"/>
  <c r="GW124" i="28"/>
  <c r="GX124" i="28"/>
  <c r="GY124" i="28"/>
  <c r="GZ124" i="28"/>
  <c r="HA124" i="28"/>
  <c r="HB124" i="28"/>
  <c r="HC124" i="28"/>
  <c r="HD124" i="28"/>
  <c r="HE124" i="28"/>
  <c r="HF124" i="28"/>
  <c r="HG124" i="28"/>
  <c r="HH124" i="28"/>
  <c r="HI124" i="28"/>
  <c r="HJ124" i="28"/>
  <c r="HK124" i="28"/>
  <c r="HL124" i="28"/>
  <c r="HM124" i="28"/>
  <c r="HN124" i="28"/>
  <c r="HO124" i="28"/>
  <c r="HP124" i="28"/>
  <c r="HQ124" i="28"/>
  <c r="HR124" i="28"/>
  <c r="HS124" i="28"/>
  <c r="HT124" i="28"/>
  <c r="HU124" i="28"/>
  <c r="HV124" i="28"/>
  <c r="HW124" i="28"/>
  <c r="HX124" i="28"/>
  <c r="HY124" i="28"/>
  <c r="HZ124" i="28"/>
  <c r="IA124" i="28"/>
  <c r="IB124" i="28"/>
  <c r="IC124" i="28"/>
  <c r="ID124" i="28"/>
  <c r="IE124" i="28"/>
  <c r="IF124" i="28"/>
  <c r="IG124" i="28"/>
  <c r="IH124" i="28"/>
  <c r="II124" i="28"/>
  <c r="IJ124" i="28"/>
  <c r="IK124" i="28"/>
  <c r="IL124" i="28"/>
  <c r="IM124" i="28"/>
  <c r="IN124" i="28"/>
  <c r="IO124" i="28"/>
  <c r="IP124" i="28"/>
  <c r="IQ124" i="28"/>
  <c r="IR124" i="28"/>
  <c r="IS124" i="28"/>
  <c r="IT124" i="28"/>
  <c r="IU124" i="28"/>
  <c r="IV124" i="28"/>
  <c r="A123" i="28"/>
  <c r="B123" i="28"/>
  <c r="C123" i="28"/>
  <c r="D123" i="28"/>
  <c r="E123" i="28"/>
  <c r="F123" i="28"/>
  <c r="G123" i="28"/>
  <c r="H123" i="28"/>
  <c r="I123" i="28"/>
  <c r="J123" i="28"/>
  <c r="K123" i="28"/>
  <c r="L123" i="28"/>
  <c r="M123" i="28"/>
  <c r="N123" i="28"/>
  <c r="O123" i="28"/>
  <c r="P123" i="28"/>
  <c r="Q123" i="28"/>
  <c r="R123" i="28"/>
  <c r="S123" i="28"/>
  <c r="T123" i="28"/>
  <c r="U123" i="28"/>
  <c r="V123" i="28"/>
  <c r="W123" i="28"/>
  <c r="X123" i="28"/>
  <c r="Y123" i="28"/>
  <c r="Z123" i="28"/>
  <c r="AA123" i="28"/>
  <c r="AB123" i="28"/>
  <c r="AC123" i="28"/>
  <c r="AD123" i="28"/>
  <c r="AE123" i="28"/>
  <c r="AF123" i="28"/>
  <c r="AG123" i="28"/>
  <c r="AH123" i="28"/>
  <c r="AI123" i="28"/>
  <c r="AJ123" i="28"/>
  <c r="AK123" i="28"/>
  <c r="AL123" i="28"/>
  <c r="AM123" i="28"/>
  <c r="AN123" i="28"/>
  <c r="AO123" i="28"/>
  <c r="AP123" i="28"/>
  <c r="AQ123" i="28"/>
  <c r="AR123" i="28"/>
  <c r="AS123" i="28"/>
  <c r="AT123" i="28"/>
  <c r="AU123" i="28"/>
  <c r="AV123" i="28"/>
  <c r="AW123" i="28"/>
  <c r="AX123" i="28"/>
  <c r="AY123" i="28"/>
  <c r="AZ123" i="28"/>
  <c r="BA123" i="28"/>
  <c r="BB123" i="28"/>
  <c r="BC123" i="28"/>
  <c r="BD123" i="28"/>
  <c r="BE123" i="28"/>
  <c r="BF123" i="28"/>
  <c r="BG123" i="28"/>
  <c r="BH123" i="28"/>
  <c r="BI123" i="28"/>
  <c r="BJ123" i="28"/>
  <c r="BK123" i="28"/>
  <c r="BL123" i="28"/>
  <c r="BM123" i="28"/>
  <c r="BN123" i="28"/>
  <c r="BO123" i="28"/>
  <c r="BP123" i="28"/>
  <c r="BQ123" i="28"/>
  <c r="BR123" i="28"/>
  <c r="BS123" i="28"/>
  <c r="BT123" i="28"/>
  <c r="BU123" i="28"/>
  <c r="BV123" i="28"/>
  <c r="BW123" i="28"/>
  <c r="BX123" i="28"/>
  <c r="BY123" i="28"/>
  <c r="BZ123" i="28"/>
  <c r="CA123" i="28"/>
  <c r="CB123" i="28"/>
  <c r="CC123" i="28"/>
  <c r="CD123" i="28"/>
  <c r="CE123" i="28"/>
  <c r="CF123" i="28"/>
  <c r="CG123" i="28"/>
  <c r="CH123" i="28"/>
  <c r="CI123" i="28"/>
  <c r="CJ123" i="28"/>
  <c r="CK123" i="28"/>
  <c r="CL123" i="28"/>
  <c r="CM123" i="28"/>
  <c r="CN123" i="28"/>
  <c r="CO123" i="28"/>
  <c r="CP123" i="28"/>
  <c r="CQ123" i="28"/>
  <c r="CR123" i="28"/>
  <c r="CS123" i="28"/>
  <c r="CT123" i="28"/>
  <c r="CU123" i="28"/>
  <c r="CV123" i="28"/>
  <c r="CW123" i="28"/>
  <c r="CX123" i="28"/>
  <c r="CY123" i="28"/>
  <c r="CZ123" i="28"/>
  <c r="DA123" i="28"/>
  <c r="DB123" i="28"/>
  <c r="DC123" i="28"/>
  <c r="DD123" i="28"/>
  <c r="DE123" i="28"/>
  <c r="DF123" i="28"/>
  <c r="DG123" i="28"/>
  <c r="DH123" i="28"/>
  <c r="DI123" i="28"/>
  <c r="DJ123" i="28"/>
  <c r="DK123" i="28"/>
  <c r="DL123" i="28"/>
  <c r="DM123" i="28"/>
  <c r="DN123" i="28"/>
  <c r="DO123" i="28"/>
  <c r="DP123" i="28"/>
  <c r="DQ123" i="28"/>
  <c r="DR123" i="28"/>
  <c r="DS123" i="28"/>
  <c r="DT123" i="28"/>
  <c r="DU123" i="28"/>
  <c r="DV123" i="28"/>
  <c r="DW123" i="28"/>
  <c r="DX123" i="28"/>
  <c r="DY123" i="28"/>
  <c r="DZ123" i="28"/>
  <c r="EA123" i="28"/>
  <c r="EB123" i="28"/>
  <c r="EC123" i="28"/>
  <c r="ED123" i="28"/>
  <c r="EE123" i="28"/>
  <c r="EF123" i="28"/>
  <c r="EG123" i="28"/>
  <c r="EH123" i="28"/>
  <c r="EI123" i="28"/>
  <c r="EJ123" i="28"/>
  <c r="EK123" i="28"/>
  <c r="EL123" i="28"/>
  <c r="EM123" i="28"/>
  <c r="EN123" i="28"/>
  <c r="EO123" i="28"/>
  <c r="EP123" i="28"/>
  <c r="EQ123" i="28"/>
  <c r="ER123" i="28"/>
  <c r="ES123" i="28"/>
  <c r="ET123" i="28"/>
  <c r="EU123" i="28"/>
  <c r="EV123" i="28"/>
  <c r="EW123" i="28"/>
  <c r="EX123" i="28"/>
  <c r="EY123" i="28"/>
  <c r="EZ123" i="28"/>
  <c r="FA123" i="28"/>
  <c r="FB123" i="28"/>
  <c r="FC123" i="28"/>
  <c r="FD123" i="28"/>
  <c r="FE123" i="28"/>
  <c r="FF123" i="28"/>
  <c r="FG123" i="28"/>
  <c r="FH123" i="28"/>
  <c r="FI123" i="28"/>
  <c r="FJ123" i="28"/>
  <c r="FK123" i="28"/>
  <c r="FL123" i="28"/>
  <c r="FM123" i="28"/>
  <c r="FN123" i="28"/>
  <c r="FO123" i="28"/>
  <c r="FP123" i="28"/>
  <c r="FQ123" i="28"/>
  <c r="FR123" i="28"/>
  <c r="FS123" i="28"/>
  <c r="FT123" i="28"/>
  <c r="FU123" i="28"/>
  <c r="FV123" i="28"/>
  <c r="FW123" i="28"/>
  <c r="FX123" i="28"/>
  <c r="FY123" i="28"/>
  <c r="FZ123" i="28"/>
  <c r="GA123" i="28"/>
  <c r="GB123" i="28"/>
  <c r="GC123" i="28"/>
  <c r="GD123" i="28"/>
  <c r="GE123" i="28"/>
  <c r="GF123" i="28"/>
  <c r="GG123" i="28"/>
  <c r="GH123" i="28"/>
  <c r="GI123" i="28"/>
  <c r="GJ123" i="28"/>
  <c r="GK123" i="28"/>
  <c r="GL123" i="28"/>
  <c r="GM123" i="28"/>
  <c r="GN123" i="28"/>
  <c r="GO123" i="28"/>
  <c r="GP123" i="28"/>
  <c r="GQ123" i="28"/>
  <c r="GR123" i="28"/>
  <c r="GS123" i="28"/>
  <c r="GT123" i="28"/>
  <c r="GU123" i="28"/>
  <c r="GV123" i="28"/>
  <c r="GW123" i="28"/>
  <c r="GX123" i="28"/>
  <c r="GY123" i="28"/>
  <c r="GZ123" i="28"/>
  <c r="HA123" i="28"/>
  <c r="HB123" i="28"/>
  <c r="HC123" i="28"/>
  <c r="HD123" i="28"/>
  <c r="HE123" i="28"/>
  <c r="HF123" i="28"/>
  <c r="HG123" i="28"/>
  <c r="HH123" i="28"/>
  <c r="HI123" i="28"/>
  <c r="HJ123" i="28"/>
  <c r="HK123" i="28"/>
  <c r="HL123" i="28"/>
  <c r="HM123" i="28"/>
  <c r="HN123" i="28"/>
  <c r="HO123" i="28"/>
  <c r="HP123" i="28"/>
  <c r="HQ123" i="28"/>
  <c r="HR123" i="28"/>
  <c r="HS123" i="28"/>
  <c r="HT123" i="28"/>
  <c r="HU123" i="28"/>
  <c r="HV123" i="28"/>
  <c r="HW123" i="28"/>
  <c r="HX123" i="28"/>
  <c r="HY123" i="28"/>
  <c r="HZ123" i="28"/>
  <c r="IA123" i="28"/>
  <c r="IB123" i="28"/>
  <c r="IC123" i="28"/>
  <c r="ID123" i="28"/>
  <c r="IE123" i="28"/>
  <c r="IF123" i="28"/>
  <c r="IG123" i="28"/>
  <c r="IH123" i="28"/>
  <c r="II123" i="28"/>
  <c r="IJ123" i="28"/>
  <c r="IK123" i="28"/>
  <c r="IL123" i="28"/>
  <c r="IM123" i="28"/>
  <c r="IN123" i="28"/>
  <c r="IO123" i="28"/>
  <c r="IP123" i="28"/>
  <c r="IQ123" i="28"/>
  <c r="IR123" i="28"/>
  <c r="IS123" i="28"/>
  <c r="IT123" i="28"/>
  <c r="IU123" i="28"/>
  <c r="IV123" i="28"/>
  <c r="A122" i="28"/>
  <c r="B122" i="28"/>
  <c r="C122" i="28"/>
  <c r="D122" i="28"/>
  <c r="E122" i="28"/>
  <c r="F122" i="28"/>
  <c r="G122" i="28"/>
  <c r="H122" i="28"/>
  <c r="I122" i="28"/>
  <c r="J122" i="28"/>
  <c r="K122" i="28"/>
  <c r="L122" i="28"/>
  <c r="M122" i="28"/>
  <c r="N122" i="28"/>
  <c r="O122" i="28"/>
  <c r="P122" i="28"/>
  <c r="Q122" i="28"/>
  <c r="R122" i="28"/>
  <c r="S122" i="28"/>
  <c r="T122" i="28"/>
  <c r="U122" i="28"/>
  <c r="V122" i="28"/>
  <c r="W122" i="28"/>
  <c r="X122" i="28"/>
  <c r="Y122" i="28"/>
  <c r="Z122" i="28"/>
  <c r="AA122" i="28"/>
  <c r="AB122" i="28"/>
  <c r="AC122" i="28"/>
  <c r="AD122" i="28"/>
  <c r="AE122" i="28"/>
  <c r="AF122" i="28"/>
  <c r="AG122" i="28"/>
  <c r="AH122" i="28"/>
  <c r="AI122" i="28"/>
  <c r="AJ122" i="28"/>
  <c r="AK122" i="28"/>
  <c r="AL122" i="28"/>
  <c r="AM122" i="28"/>
  <c r="AN122" i="28"/>
  <c r="AO122" i="28"/>
  <c r="AP122" i="28"/>
  <c r="AQ122" i="28"/>
  <c r="AR122" i="28"/>
  <c r="AS122" i="28"/>
  <c r="AT122" i="28"/>
  <c r="AU122" i="28"/>
  <c r="AV122" i="28"/>
  <c r="AW122" i="28"/>
  <c r="AX122" i="28"/>
  <c r="AY122" i="28"/>
  <c r="AZ122" i="28"/>
  <c r="BA122" i="28"/>
  <c r="BB122" i="28"/>
  <c r="BC122" i="28"/>
  <c r="BD122" i="28"/>
  <c r="BE122" i="28"/>
  <c r="BF122" i="28"/>
  <c r="BG122" i="28"/>
  <c r="BH122" i="28"/>
  <c r="BI122" i="28"/>
  <c r="BJ122" i="28"/>
  <c r="BK122" i="28"/>
  <c r="BL122" i="28"/>
  <c r="BM122" i="28"/>
  <c r="BN122" i="28"/>
  <c r="BO122" i="28"/>
  <c r="BP122" i="28"/>
  <c r="BQ122" i="28"/>
  <c r="BR122" i="28"/>
  <c r="BS122" i="28"/>
  <c r="BT122" i="28"/>
  <c r="BU122" i="28"/>
  <c r="BV122" i="28"/>
  <c r="BW122" i="28"/>
  <c r="BX122" i="28"/>
  <c r="BY122" i="28"/>
  <c r="BZ122" i="28"/>
  <c r="CA122" i="28"/>
  <c r="CB122" i="28"/>
  <c r="CC122" i="28"/>
  <c r="CD122" i="28"/>
  <c r="CE122" i="28"/>
  <c r="CF122" i="28"/>
  <c r="CG122" i="28"/>
  <c r="CH122" i="28"/>
  <c r="CI122" i="28"/>
  <c r="CJ122" i="28"/>
  <c r="CK122" i="28"/>
  <c r="CL122" i="28"/>
  <c r="CM122" i="28"/>
  <c r="CN122" i="28"/>
  <c r="CO122" i="28"/>
  <c r="CP122" i="28"/>
  <c r="CQ122" i="28"/>
  <c r="CR122" i="28"/>
  <c r="CS122" i="28"/>
  <c r="CT122" i="28"/>
  <c r="CU122" i="28"/>
  <c r="CV122" i="28"/>
  <c r="CW122" i="28"/>
  <c r="CX122" i="28"/>
  <c r="CY122" i="28"/>
  <c r="CZ122" i="28"/>
  <c r="DA122" i="28"/>
  <c r="DB122" i="28"/>
  <c r="DC122" i="28"/>
  <c r="DD122" i="28"/>
  <c r="DE122" i="28"/>
  <c r="DF122" i="28"/>
  <c r="DG122" i="28"/>
  <c r="DH122" i="28"/>
  <c r="DI122" i="28"/>
  <c r="DJ122" i="28"/>
  <c r="DK122" i="28"/>
  <c r="DL122" i="28"/>
  <c r="DM122" i="28"/>
  <c r="DN122" i="28"/>
  <c r="DO122" i="28"/>
  <c r="DP122" i="28"/>
  <c r="DQ122" i="28"/>
  <c r="DR122" i="28"/>
  <c r="DS122" i="28"/>
  <c r="DT122" i="28"/>
  <c r="DU122" i="28"/>
  <c r="DV122" i="28"/>
  <c r="DW122" i="28"/>
  <c r="DX122" i="28"/>
  <c r="DY122" i="28"/>
  <c r="DZ122" i="28"/>
  <c r="EA122" i="28"/>
  <c r="EB122" i="28"/>
  <c r="EC122" i="28"/>
  <c r="ED122" i="28"/>
  <c r="EE122" i="28"/>
  <c r="EF122" i="28"/>
  <c r="EG122" i="28"/>
  <c r="EH122" i="28"/>
  <c r="EI122" i="28"/>
  <c r="EJ122" i="28"/>
  <c r="EK122" i="28"/>
  <c r="EL122" i="28"/>
  <c r="EM122" i="28"/>
  <c r="EN122" i="28"/>
  <c r="EO122" i="28"/>
  <c r="EP122" i="28"/>
  <c r="EQ122" i="28"/>
  <c r="ER122" i="28"/>
  <c r="ES122" i="28"/>
  <c r="ET122" i="28"/>
  <c r="EU122" i="28"/>
  <c r="EV122" i="28"/>
  <c r="EW122" i="28"/>
  <c r="EX122" i="28"/>
  <c r="EY122" i="28"/>
  <c r="EZ122" i="28"/>
  <c r="FA122" i="28"/>
  <c r="FB122" i="28"/>
  <c r="FC122" i="28"/>
  <c r="FD122" i="28"/>
  <c r="FE122" i="28"/>
  <c r="FF122" i="28"/>
  <c r="FG122" i="28"/>
  <c r="FH122" i="28"/>
  <c r="FI122" i="28"/>
  <c r="FJ122" i="28"/>
  <c r="FK122" i="28"/>
  <c r="FL122" i="28"/>
  <c r="FM122" i="28"/>
  <c r="FN122" i="28"/>
  <c r="FO122" i="28"/>
  <c r="FP122" i="28"/>
  <c r="FQ122" i="28"/>
  <c r="FR122" i="28"/>
  <c r="FS122" i="28"/>
  <c r="FT122" i="28"/>
  <c r="FU122" i="28"/>
  <c r="FV122" i="28"/>
  <c r="FW122" i="28"/>
  <c r="FX122" i="28"/>
  <c r="FY122" i="28"/>
  <c r="FZ122" i="28"/>
  <c r="GA122" i="28"/>
  <c r="GB122" i="28"/>
  <c r="GC122" i="28"/>
  <c r="GD122" i="28"/>
  <c r="GE122" i="28"/>
  <c r="GF122" i="28"/>
  <c r="GG122" i="28"/>
  <c r="GH122" i="28"/>
  <c r="GI122" i="28"/>
  <c r="GJ122" i="28"/>
  <c r="GK122" i="28"/>
  <c r="GL122" i="28"/>
  <c r="GM122" i="28"/>
  <c r="GN122" i="28"/>
  <c r="GO122" i="28"/>
  <c r="GP122" i="28"/>
  <c r="GQ122" i="28"/>
  <c r="GR122" i="28"/>
  <c r="GS122" i="28"/>
  <c r="GT122" i="28"/>
  <c r="GU122" i="28"/>
  <c r="GV122" i="28"/>
  <c r="GW122" i="28"/>
  <c r="GX122" i="28"/>
  <c r="GY122" i="28"/>
  <c r="GZ122" i="28"/>
  <c r="HA122" i="28"/>
  <c r="HB122" i="28"/>
  <c r="HC122" i="28"/>
  <c r="HD122" i="28"/>
  <c r="HE122" i="28"/>
  <c r="HF122" i="28"/>
  <c r="HG122" i="28"/>
  <c r="HH122" i="28"/>
  <c r="HI122" i="28"/>
  <c r="HJ122" i="28"/>
  <c r="HK122" i="28"/>
  <c r="HL122" i="28"/>
  <c r="HM122" i="28"/>
  <c r="HN122" i="28"/>
  <c r="HO122" i="28"/>
  <c r="HP122" i="28"/>
  <c r="HQ122" i="28"/>
  <c r="HR122" i="28"/>
  <c r="HS122" i="28"/>
  <c r="HT122" i="28"/>
  <c r="HU122" i="28"/>
  <c r="HV122" i="28"/>
  <c r="HW122" i="28"/>
  <c r="HX122" i="28"/>
  <c r="HY122" i="28"/>
  <c r="HZ122" i="28"/>
  <c r="IA122" i="28"/>
  <c r="IB122" i="28"/>
  <c r="IC122" i="28"/>
  <c r="ID122" i="28"/>
  <c r="IE122" i="28"/>
  <c r="IF122" i="28"/>
  <c r="IG122" i="28"/>
  <c r="IH122" i="28"/>
  <c r="II122" i="28"/>
  <c r="IJ122" i="28"/>
  <c r="IK122" i="28"/>
  <c r="IL122" i="28"/>
  <c r="IM122" i="28"/>
  <c r="IN122" i="28"/>
  <c r="IO122" i="28"/>
  <c r="IP122" i="28"/>
  <c r="IQ122" i="28"/>
  <c r="IR122" i="28"/>
  <c r="IS122" i="28"/>
  <c r="IT122" i="28"/>
  <c r="IU122" i="28"/>
  <c r="IV122" i="28"/>
  <c r="A121" i="28"/>
  <c r="B121" i="28"/>
  <c r="C121" i="28"/>
  <c r="D121" i="28"/>
  <c r="E121" i="28"/>
  <c r="F121" i="28"/>
  <c r="G121" i="28"/>
  <c r="H121" i="28"/>
  <c r="I121" i="28"/>
  <c r="J121" i="28"/>
  <c r="K121" i="28"/>
  <c r="L121" i="28"/>
  <c r="M121" i="28"/>
  <c r="N121" i="28"/>
  <c r="O121" i="28"/>
  <c r="P121" i="28"/>
  <c r="Q121" i="28"/>
  <c r="R121" i="28"/>
  <c r="S121" i="28"/>
  <c r="T121" i="28"/>
  <c r="U121" i="28"/>
  <c r="V121" i="28"/>
  <c r="W121" i="28"/>
  <c r="X121" i="28"/>
  <c r="Y121" i="28"/>
  <c r="Z121" i="28"/>
  <c r="AA121" i="28"/>
  <c r="AB121" i="28"/>
  <c r="AC121" i="28"/>
  <c r="AD121" i="28"/>
  <c r="AE121" i="28"/>
  <c r="AF121" i="28"/>
  <c r="AG121" i="28"/>
  <c r="AH121" i="28"/>
  <c r="AI121" i="28"/>
  <c r="AJ121" i="28"/>
  <c r="AK121" i="28"/>
  <c r="AL121" i="28"/>
  <c r="AM121" i="28"/>
  <c r="AN121" i="28"/>
  <c r="AO121" i="28"/>
  <c r="AP121" i="28"/>
  <c r="AQ121" i="28"/>
  <c r="AR121" i="28"/>
  <c r="AS121" i="28"/>
  <c r="AT121" i="28"/>
  <c r="AU121" i="28"/>
  <c r="AV121" i="28"/>
  <c r="AW121" i="28"/>
  <c r="AX121" i="28"/>
  <c r="AY121" i="28"/>
  <c r="AZ121" i="28"/>
  <c r="BA121" i="28"/>
  <c r="BB121" i="28"/>
  <c r="BC121" i="28"/>
  <c r="BD121" i="28"/>
  <c r="BE121" i="28"/>
  <c r="BF121" i="28"/>
  <c r="BG121" i="28"/>
  <c r="BH121" i="28"/>
  <c r="BI121" i="28"/>
  <c r="BJ121" i="28"/>
  <c r="BK121" i="28"/>
  <c r="BL121" i="28"/>
  <c r="BM121" i="28"/>
  <c r="BN121" i="28"/>
  <c r="BO121" i="28"/>
  <c r="BP121" i="28"/>
  <c r="BQ121" i="28"/>
  <c r="BR121" i="28"/>
  <c r="BS121" i="28"/>
  <c r="BT121" i="28"/>
  <c r="BU121" i="28"/>
  <c r="BV121" i="28"/>
  <c r="BW121" i="28"/>
  <c r="BX121" i="28"/>
  <c r="BY121" i="28"/>
  <c r="BZ121" i="28"/>
  <c r="CA121" i="28"/>
  <c r="CB121" i="28"/>
  <c r="CC121" i="28"/>
  <c r="CD121" i="28"/>
  <c r="CE121" i="28"/>
  <c r="CF121" i="28"/>
  <c r="CG121" i="28"/>
  <c r="CH121" i="28"/>
  <c r="CI121" i="28"/>
  <c r="CJ121" i="28"/>
  <c r="CK121" i="28"/>
  <c r="CL121" i="28"/>
  <c r="CM121" i="28"/>
  <c r="CN121" i="28"/>
  <c r="CO121" i="28"/>
  <c r="CP121" i="28"/>
  <c r="CQ121" i="28"/>
  <c r="CR121" i="28"/>
  <c r="CS121" i="28"/>
  <c r="CT121" i="28"/>
  <c r="CU121" i="28"/>
  <c r="CV121" i="28"/>
  <c r="CW121" i="28"/>
  <c r="CX121" i="28"/>
  <c r="CY121" i="28"/>
  <c r="CZ121" i="28"/>
  <c r="DA121" i="28"/>
  <c r="DB121" i="28"/>
  <c r="DC121" i="28"/>
  <c r="DD121" i="28"/>
  <c r="DE121" i="28"/>
  <c r="DF121" i="28"/>
  <c r="DG121" i="28"/>
  <c r="DH121" i="28"/>
  <c r="DI121" i="28"/>
  <c r="DJ121" i="28"/>
  <c r="DK121" i="28"/>
  <c r="DL121" i="28"/>
  <c r="DM121" i="28"/>
  <c r="DN121" i="28"/>
  <c r="DO121" i="28"/>
  <c r="DP121" i="28"/>
  <c r="DQ121" i="28"/>
  <c r="DR121" i="28"/>
  <c r="DS121" i="28"/>
  <c r="DT121" i="28"/>
  <c r="DU121" i="28"/>
  <c r="DV121" i="28"/>
  <c r="DW121" i="28"/>
  <c r="DX121" i="28"/>
  <c r="DY121" i="28"/>
  <c r="DZ121" i="28"/>
  <c r="EA121" i="28"/>
  <c r="EB121" i="28"/>
  <c r="EC121" i="28"/>
  <c r="ED121" i="28"/>
  <c r="EE121" i="28"/>
  <c r="EF121" i="28"/>
  <c r="EG121" i="28"/>
  <c r="EH121" i="28"/>
  <c r="EI121" i="28"/>
  <c r="EJ121" i="28"/>
  <c r="EK121" i="28"/>
  <c r="EL121" i="28"/>
  <c r="EM121" i="28"/>
  <c r="EN121" i="28"/>
  <c r="EO121" i="28"/>
  <c r="EP121" i="28"/>
  <c r="EQ121" i="28"/>
  <c r="ER121" i="28"/>
  <c r="ES121" i="28"/>
  <c r="ET121" i="28"/>
  <c r="EU121" i="28"/>
  <c r="EV121" i="28"/>
  <c r="EW121" i="28"/>
  <c r="EX121" i="28"/>
  <c r="EY121" i="28"/>
  <c r="EZ121" i="28"/>
  <c r="FA121" i="28"/>
  <c r="FB121" i="28"/>
  <c r="FC121" i="28"/>
  <c r="FD121" i="28"/>
  <c r="FE121" i="28"/>
  <c r="FF121" i="28"/>
  <c r="FG121" i="28"/>
  <c r="FH121" i="28"/>
  <c r="FI121" i="28"/>
  <c r="FJ121" i="28"/>
  <c r="FK121" i="28"/>
  <c r="FL121" i="28"/>
  <c r="FM121" i="28"/>
  <c r="FN121" i="28"/>
  <c r="FO121" i="28"/>
  <c r="FP121" i="28"/>
  <c r="FQ121" i="28"/>
  <c r="FR121" i="28"/>
  <c r="FS121" i="28"/>
  <c r="FT121" i="28"/>
  <c r="FU121" i="28"/>
  <c r="FV121" i="28"/>
  <c r="FW121" i="28"/>
  <c r="FX121" i="28"/>
  <c r="FY121" i="28"/>
  <c r="FZ121" i="28"/>
  <c r="GA121" i="28"/>
  <c r="GB121" i="28"/>
  <c r="GC121" i="28"/>
  <c r="GD121" i="28"/>
  <c r="GE121" i="28"/>
  <c r="GF121" i="28"/>
  <c r="GG121" i="28"/>
  <c r="GH121" i="28"/>
  <c r="GI121" i="28"/>
  <c r="GJ121" i="28"/>
  <c r="GK121" i="28"/>
  <c r="GL121" i="28"/>
  <c r="GM121" i="28"/>
  <c r="GN121" i="28"/>
  <c r="GO121" i="28"/>
  <c r="GP121" i="28"/>
  <c r="GQ121" i="28"/>
  <c r="GR121" i="28"/>
  <c r="GS121" i="28"/>
  <c r="GT121" i="28"/>
  <c r="GU121" i="28"/>
  <c r="GV121" i="28"/>
  <c r="GW121" i="28"/>
  <c r="GX121" i="28"/>
  <c r="GY121" i="28"/>
  <c r="GZ121" i="28"/>
  <c r="HA121" i="28"/>
  <c r="HB121" i="28"/>
  <c r="HC121" i="28"/>
  <c r="HD121" i="28"/>
  <c r="HE121" i="28"/>
  <c r="HF121" i="28"/>
  <c r="HG121" i="28"/>
  <c r="HH121" i="28"/>
  <c r="HI121" i="28"/>
  <c r="HJ121" i="28"/>
  <c r="HK121" i="28"/>
  <c r="HL121" i="28"/>
  <c r="HM121" i="28"/>
  <c r="HN121" i="28"/>
  <c r="HO121" i="28"/>
  <c r="HP121" i="28"/>
  <c r="HQ121" i="28"/>
  <c r="HR121" i="28"/>
  <c r="HS121" i="28"/>
  <c r="HT121" i="28"/>
  <c r="HU121" i="28"/>
  <c r="HV121" i="28"/>
  <c r="HW121" i="28"/>
  <c r="HX121" i="28"/>
  <c r="HY121" i="28"/>
  <c r="HZ121" i="28"/>
  <c r="IA121" i="28"/>
  <c r="IB121" i="28"/>
  <c r="IC121" i="28"/>
  <c r="ID121" i="28"/>
  <c r="IE121" i="28"/>
  <c r="IF121" i="28"/>
  <c r="IG121" i="28"/>
  <c r="IH121" i="28"/>
  <c r="II121" i="28"/>
  <c r="IJ121" i="28"/>
  <c r="IK121" i="28"/>
  <c r="IL121" i="28"/>
  <c r="IM121" i="28"/>
  <c r="IN121" i="28"/>
  <c r="IO121" i="28"/>
  <c r="IP121" i="28"/>
  <c r="IQ121" i="28"/>
  <c r="IR121" i="28"/>
  <c r="IS121" i="28"/>
  <c r="IT121" i="28"/>
  <c r="IU121" i="28"/>
  <c r="IV121" i="28"/>
  <c r="A120" i="28"/>
  <c r="B120" i="28"/>
  <c r="C120" i="28"/>
  <c r="D120" i="28"/>
  <c r="E120" i="28"/>
  <c r="F120" i="28"/>
  <c r="G120" i="28"/>
  <c r="H120" i="28"/>
  <c r="I120" i="28"/>
  <c r="J120" i="28"/>
  <c r="K120" i="28"/>
  <c r="L120" i="28"/>
  <c r="M120" i="28"/>
  <c r="N120" i="28"/>
  <c r="O120" i="28"/>
  <c r="P120" i="28"/>
  <c r="Q120" i="28"/>
  <c r="R120" i="28"/>
  <c r="S120" i="28"/>
  <c r="T120" i="28"/>
  <c r="U120" i="28"/>
  <c r="V120" i="28"/>
  <c r="W120" i="28"/>
  <c r="X120" i="28"/>
  <c r="Y120" i="28"/>
  <c r="Z120" i="28"/>
  <c r="AA120" i="28"/>
  <c r="AB120" i="28"/>
  <c r="AC120" i="28"/>
  <c r="AD120" i="28"/>
  <c r="AE120" i="28"/>
  <c r="AF120" i="28"/>
  <c r="AG120" i="28"/>
  <c r="AH120" i="28"/>
  <c r="AI120" i="28"/>
  <c r="AJ120" i="28"/>
  <c r="AK120" i="28"/>
  <c r="AL120" i="28"/>
  <c r="AM120" i="28"/>
  <c r="AN120" i="28"/>
  <c r="AO120" i="28"/>
  <c r="AP120" i="28"/>
  <c r="AQ120" i="28"/>
  <c r="AR120" i="28"/>
  <c r="AS120" i="28"/>
  <c r="AT120" i="28"/>
  <c r="AU120" i="28"/>
  <c r="AV120" i="28"/>
  <c r="AW120" i="28"/>
  <c r="AX120" i="28"/>
  <c r="AY120" i="28"/>
  <c r="AZ120" i="28"/>
  <c r="BA120" i="28"/>
  <c r="BB120" i="28"/>
  <c r="BC120" i="28"/>
  <c r="BD120" i="28"/>
  <c r="BE120" i="28"/>
  <c r="BF120" i="28"/>
  <c r="BG120" i="28"/>
  <c r="BH120" i="28"/>
  <c r="BI120" i="28"/>
  <c r="BJ120" i="28"/>
  <c r="BK120" i="28"/>
  <c r="BL120" i="28"/>
  <c r="BM120" i="28"/>
  <c r="BN120" i="28"/>
  <c r="BO120" i="28"/>
  <c r="BP120" i="28"/>
  <c r="BQ120" i="28"/>
  <c r="BR120" i="28"/>
  <c r="BS120" i="28"/>
  <c r="BT120" i="28"/>
  <c r="BU120" i="28"/>
  <c r="BV120" i="28"/>
  <c r="BW120" i="28"/>
  <c r="BX120" i="28"/>
  <c r="BY120" i="28"/>
  <c r="BZ120" i="28"/>
  <c r="CA120" i="28"/>
  <c r="CB120" i="28"/>
  <c r="CC120" i="28"/>
  <c r="CD120" i="28"/>
  <c r="CE120" i="28"/>
  <c r="CF120" i="28"/>
  <c r="CG120" i="28"/>
  <c r="CH120" i="28"/>
  <c r="CI120" i="28"/>
  <c r="CJ120" i="28"/>
  <c r="CK120" i="28"/>
  <c r="CL120" i="28"/>
  <c r="CM120" i="28"/>
  <c r="CN120" i="28"/>
  <c r="CO120" i="28"/>
  <c r="CP120" i="28"/>
  <c r="CQ120" i="28"/>
  <c r="CR120" i="28"/>
  <c r="CS120" i="28"/>
  <c r="CT120" i="28"/>
  <c r="CU120" i="28"/>
  <c r="CV120" i="28"/>
  <c r="CW120" i="28"/>
  <c r="CX120" i="28"/>
  <c r="CY120" i="28"/>
  <c r="CZ120" i="28"/>
  <c r="DA120" i="28"/>
  <c r="DB120" i="28"/>
  <c r="DC120" i="28"/>
  <c r="DD120" i="28"/>
  <c r="DE120" i="28"/>
  <c r="DF120" i="28"/>
  <c r="DG120" i="28"/>
  <c r="DH120" i="28"/>
  <c r="DI120" i="28"/>
  <c r="DJ120" i="28"/>
  <c r="DK120" i="28"/>
  <c r="DL120" i="28"/>
  <c r="DM120" i="28"/>
  <c r="DN120" i="28"/>
  <c r="DO120" i="28"/>
  <c r="DP120" i="28"/>
  <c r="DQ120" i="28"/>
  <c r="DR120" i="28"/>
  <c r="DS120" i="28"/>
  <c r="DT120" i="28"/>
  <c r="DU120" i="28"/>
  <c r="DV120" i="28"/>
  <c r="DW120" i="28"/>
  <c r="DX120" i="28"/>
  <c r="DY120" i="28"/>
  <c r="DZ120" i="28"/>
  <c r="EA120" i="28"/>
  <c r="EB120" i="28"/>
  <c r="EC120" i="28"/>
  <c r="ED120" i="28"/>
  <c r="EE120" i="28"/>
  <c r="EF120" i="28"/>
  <c r="EG120" i="28"/>
  <c r="EH120" i="28"/>
  <c r="EI120" i="28"/>
  <c r="EJ120" i="28"/>
  <c r="EK120" i="28"/>
  <c r="EL120" i="28"/>
  <c r="EM120" i="28"/>
  <c r="EN120" i="28"/>
  <c r="EO120" i="28"/>
  <c r="EP120" i="28"/>
  <c r="EQ120" i="28"/>
  <c r="ER120" i="28"/>
  <c r="ES120" i="28"/>
  <c r="ET120" i="28"/>
  <c r="EU120" i="28"/>
  <c r="EV120" i="28"/>
  <c r="EW120" i="28"/>
  <c r="EX120" i="28"/>
  <c r="EY120" i="28"/>
  <c r="EZ120" i="28"/>
  <c r="FA120" i="28"/>
  <c r="FB120" i="28"/>
  <c r="FC120" i="28"/>
  <c r="FD120" i="28"/>
  <c r="FE120" i="28"/>
  <c r="FF120" i="28"/>
  <c r="FG120" i="28"/>
  <c r="FH120" i="28"/>
  <c r="FI120" i="28"/>
  <c r="FJ120" i="28"/>
  <c r="FK120" i="28"/>
  <c r="FL120" i="28"/>
  <c r="FM120" i="28"/>
  <c r="FN120" i="28"/>
  <c r="FO120" i="28"/>
  <c r="FP120" i="28"/>
  <c r="FQ120" i="28"/>
  <c r="FR120" i="28"/>
  <c r="FS120" i="28"/>
  <c r="FT120" i="28"/>
  <c r="FU120" i="28"/>
  <c r="FV120" i="28"/>
  <c r="FW120" i="28"/>
  <c r="FX120" i="28"/>
  <c r="FY120" i="28"/>
  <c r="FZ120" i="28"/>
  <c r="GA120" i="28"/>
  <c r="GB120" i="28"/>
  <c r="GC120" i="28"/>
  <c r="GD120" i="28"/>
  <c r="GE120" i="28"/>
  <c r="GF120" i="28"/>
  <c r="GG120" i="28"/>
  <c r="GH120" i="28"/>
  <c r="GI120" i="28"/>
  <c r="GJ120" i="28"/>
  <c r="GK120" i="28"/>
  <c r="GL120" i="28"/>
  <c r="GM120" i="28"/>
  <c r="GN120" i="28"/>
  <c r="GO120" i="28"/>
  <c r="GP120" i="28"/>
  <c r="GQ120" i="28"/>
  <c r="GR120" i="28"/>
  <c r="GS120" i="28"/>
  <c r="GT120" i="28"/>
  <c r="GU120" i="28"/>
  <c r="GV120" i="28"/>
  <c r="GW120" i="28"/>
  <c r="GX120" i="28"/>
  <c r="GY120" i="28"/>
  <c r="GZ120" i="28"/>
  <c r="HA120" i="28"/>
  <c r="HB120" i="28"/>
  <c r="HC120" i="28"/>
  <c r="HD120" i="28"/>
  <c r="HE120" i="28"/>
  <c r="HF120" i="28"/>
  <c r="HG120" i="28"/>
  <c r="HH120" i="28"/>
  <c r="HI120" i="28"/>
  <c r="HJ120" i="28"/>
  <c r="HK120" i="28"/>
  <c r="HL120" i="28"/>
  <c r="HM120" i="28"/>
  <c r="HN120" i="28"/>
  <c r="HO120" i="28"/>
  <c r="HP120" i="28"/>
  <c r="HQ120" i="28"/>
  <c r="HR120" i="28"/>
  <c r="HS120" i="28"/>
  <c r="HT120" i="28"/>
  <c r="HU120" i="28"/>
  <c r="HV120" i="28"/>
  <c r="HW120" i="28"/>
  <c r="HX120" i="28"/>
  <c r="HY120" i="28"/>
  <c r="HZ120" i="28"/>
  <c r="IA120" i="28"/>
  <c r="IB120" i="28"/>
  <c r="IC120" i="28"/>
  <c r="ID120" i="28"/>
  <c r="IE120" i="28"/>
  <c r="IF120" i="28"/>
  <c r="IG120" i="28"/>
  <c r="IH120" i="28"/>
  <c r="II120" i="28"/>
  <c r="IJ120" i="28"/>
  <c r="IK120" i="28"/>
  <c r="IL120" i="28"/>
  <c r="IM120" i="28"/>
  <c r="IN120" i="28"/>
  <c r="IO120" i="28"/>
  <c r="IP120" i="28"/>
  <c r="IQ120" i="28"/>
  <c r="IR120" i="28"/>
  <c r="IS120" i="28"/>
  <c r="IT120" i="28"/>
  <c r="IU120" i="28"/>
  <c r="IV120" i="28"/>
  <c r="A119" i="28"/>
  <c r="B119" i="28"/>
  <c r="C119" i="28"/>
  <c r="D119" i="28"/>
  <c r="E119" i="28"/>
  <c r="F119" i="28"/>
  <c r="G119" i="28"/>
  <c r="H119" i="28"/>
  <c r="I119" i="28"/>
  <c r="J119" i="28"/>
  <c r="K119" i="28"/>
  <c r="L119" i="28"/>
  <c r="M119" i="28"/>
  <c r="N119" i="28"/>
  <c r="O119" i="28"/>
  <c r="P119" i="28"/>
  <c r="Q119" i="28"/>
  <c r="R119" i="28"/>
  <c r="S119" i="28"/>
  <c r="T119" i="28"/>
  <c r="U119" i="28"/>
  <c r="V119" i="28"/>
  <c r="W119" i="28"/>
  <c r="X119" i="28"/>
  <c r="Y119" i="28"/>
  <c r="Z119" i="28"/>
  <c r="AA119" i="28"/>
  <c r="AB119" i="28"/>
  <c r="AC119" i="28"/>
  <c r="AD119" i="28"/>
  <c r="AE119" i="28"/>
  <c r="AF119" i="28"/>
  <c r="AG119" i="28"/>
  <c r="AH119" i="28"/>
  <c r="AI119" i="28"/>
  <c r="AJ119" i="28"/>
  <c r="AK119" i="28"/>
  <c r="AL119" i="28"/>
  <c r="AM119" i="28"/>
  <c r="AN119" i="28"/>
  <c r="AO119" i="28"/>
  <c r="AP119" i="28"/>
  <c r="AQ119" i="28"/>
  <c r="AR119" i="28"/>
  <c r="AS119" i="28"/>
  <c r="AT119" i="28"/>
  <c r="AU119" i="28"/>
  <c r="AV119" i="28"/>
  <c r="AW119" i="28"/>
  <c r="AX119" i="28"/>
  <c r="AY119" i="28"/>
  <c r="AZ119" i="28"/>
  <c r="BA119" i="28"/>
  <c r="BB119" i="28"/>
  <c r="BC119" i="28"/>
  <c r="BD119" i="28"/>
  <c r="BE119" i="28"/>
  <c r="BF119" i="28"/>
  <c r="BG119" i="28"/>
  <c r="BH119" i="28"/>
  <c r="BI119" i="28"/>
  <c r="BJ119" i="28"/>
  <c r="BK119" i="28"/>
  <c r="BL119" i="28"/>
  <c r="BM119" i="28"/>
  <c r="BN119" i="28"/>
  <c r="BO119" i="28"/>
  <c r="BP119" i="28"/>
  <c r="BQ119" i="28"/>
  <c r="BR119" i="28"/>
  <c r="BS119" i="28"/>
  <c r="BT119" i="28"/>
  <c r="BU119" i="28"/>
  <c r="BV119" i="28"/>
  <c r="BW119" i="28"/>
  <c r="BX119" i="28"/>
  <c r="BY119" i="28"/>
  <c r="BZ119" i="28"/>
  <c r="CA119" i="28"/>
  <c r="CB119" i="28"/>
  <c r="CC119" i="28"/>
  <c r="CD119" i="28"/>
  <c r="CE119" i="28"/>
  <c r="CF119" i="28"/>
  <c r="CG119" i="28"/>
  <c r="CH119" i="28"/>
  <c r="CI119" i="28"/>
  <c r="CJ119" i="28"/>
  <c r="CK119" i="28"/>
  <c r="CL119" i="28"/>
  <c r="CM119" i="28"/>
  <c r="CN119" i="28"/>
  <c r="CO119" i="28"/>
  <c r="CP119" i="28"/>
  <c r="CQ119" i="28"/>
  <c r="CR119" i="28"/>
  <c r="CS119" i="28"/>
  <c r="CT119" i="28"/>
  <c r="CU119" i="28"/>
  <c r="CV119" i="28"/>
  <c r="CW119" i="28"/>
  <c r="CX119" i="28"/>
  <c r="CY119" i="28"/>
  <c r="CZ119" i="28"/>
  <c r="DA119" i="28"/>
  <c r="DB119" i="28"/>
  <c r="DC119" i="28"/>
  <c r="DD119" i="28"/>
  <c r="DE119" i="28"/>
  <c r="DF119" i="28"/>
  <c r="DG119" i="28"/>
  <c r="DH119" i="28"/>
  <c r="DI119" i="28"/>
  <c r="DJ119" i="28"/>
  <c r="DK119" i="28"/>
  <c r="DL119" i="28"/>
  <c r="DM119" i="28"/>
  <c r="DN119" i="28"/>
  <c r="DO119" i="28"/>
  <c r="DP119" i="28"/>
  <c r="DQ119" i="28"/>
  <c r="DR119" i="28"/>
  <c r="DS119" i="28"/>
  <c r="DT119" i="28"/>
  <c r="DU119" i="28"/>
  <c r="DV119" i="28"/>
  <c r="DW119" i="28"/>
  <c r="DX119" i="28"/>
  <c r="DY119" i="28"/>
  <c r="DZ119" i="28"/>
  <c r="EA119" i="28"/>
  <c r="EB119" i="28"/>
  <c r="EC119" i="28"/>
  <c r="ED119" i="28"/>
  <c r="EE119" i="28"/>
  <c r="EF119" i="28"/>
  <c r="EG119" i="28"/>
  <c r="EH119" i="28"/>
  <c r="EI119" i="28"/>
  <c r="EJ119" i="28"/>
  <c r="EK119" i="28"/>
  <c r="EL119" i="28"/>
  <c r="EM119" i="28"/>
  <c r="EN119" i="28"/>
  <c r="EO119" i="28"/>
  <c r="EP119" i="28"/>
  <c r="EQ119" i="28"/>
  <c r="ER119" i="28"/>
  <c r="ES119" i="28"/>
  <c r="ET119" i="28"/>
  <c r="EU119" i="28"/>
  <c r="EV119" i="28"/>
  <c r="EW119" i="28"/>
  <c r="EX119" i="28"/>
  <c r="EY119" i="28"/>
  <c r="EZ119" i="28"/>
  <c r="FA119" i="28"/>
  <c r="FB119" i="28"/>
  <c r="FC119" i="28"/>
  <c r="FD119" i="28"/>
  <c r="FE119" i="28"/>
  <c r="FF119" i="28"/>
  <c r="FG119" i="28"/>
  <c r="FH119" i="28"/>
  <c r="FI119" i="28"/>
  <c r="FJ119" i="28"/>
  <c r="FK119" i="28"/>
  <c r="FL119" i="28"/>
  <c r="FM119" i="28"/>
  <c r="FN119" i="28"/>
  <c r="FO119" i="28"/>
  <c r="FP119" i="28"/>
  <c r="FQ119" i="28"/>
  <c r="FR119" i="28"/>
  <c r="FS119" i="28"/>
  <c r="FT119" i="28"/>
  <c r="FU119" i="28"/>
  <c r="FV119" i="28"/>
  <c r="FW119" i="28"/>
  <c r="FX119" i="28"/>
  <c r="FY119" i="28"/>
  <c r="FZ119" i="28"/>
  <c r="GA119" i="28"/>
  <c r="GB119" i="28"/>
  <c r="GC119" i="28"/>
  <c r="GD119" i="28"/>
  <c r="GE119" i="28"/>
  <c r="GF119" i="28"/>
  <c r="GG119" i="28"/>
  <c r="GH119" i="28"/>
  <c r="GI119" i="28"/>
  <c r="GJ119" i="28"/>
  <c r="GK119" i="28"/>
  <c r="GL119" i="28"/>
  <c r="GM119" i="28"/>
  <c r="GN119" i="28"/>
  <c r="GO119" i="28"/>
  <c r="GP119" i="28"/>
  <c r="GQ119" i="28"/>
  <c r="GR119" i="28"/>
  <c r="GS119" i="28"/>
  <c r="GT119" i="28"/>
  <c r="GU119" i="28"/>
  <c r="GV119" i="28"/>
  <c r="GW119" i="28"/>
  <c r="GX119" i="28"/>
  <c r="GY119" i="28"/>
  <c r="GZ119" i="28"/>
  <c r="HA119" i="28"/>
  <c r="HB119" i="28"/>
  <c r="HC119" i="28"/>
  <c r="HD119" i="28"/>
  <c r="HE119" i="28"/>
  <c r="HF119" i="28"/>
  <c r="HG119" i="28"/>
  <c r="HH119" i="28"/>
  <c r="HI119" i="28"/>
  <c r="HJ119" i="28"/>
  <c r="HK119" i="28"/>
  <c r="HL119" i="28"/>
  <c r="HM119" i="28"/>
  <c r="HN119" i="28"/>
  <c r="HO119" i="28"/>
  <c r="HP119" i="28"/>
  <c r="HQ119" i="28"/>
  <c r="HR119" i="28"/>
  <c r="HS119" i="28"/>
  <c r="HT119" i="28"/>
  <c r="HU119" i="28"/>
  <c r="HV119" i="28"/>
  <c r="HW119" i="28"/>
  <c r="HX119" i="28"/>
  <c r="HY119" i="28"/>
  <c r="HZ119" i="28"/>
  <c r="IA119" i="28"/>
  <c r="IB119" i="28"/>
  <c r="IC119" i="28"/>
  <c r="ID119" i="28"/>
  <c r="IE119" i="28"/>
  <c r="IF119" i="28"/>
  <c r="IG119" i="28"/>
  <c r="IH119" i="28"/>
  <c r="II119" i="28"/>
  <c r="IJ119" i="28"/>
  <c r="IK119" i="28"/>
  <c r="IL119" i="28"/>
  <c r="IM119" i="28"/>
  <c r="IN119" i="28"/>
  <c r="IO119" i="28"/>
  <c r="IP119" i="28"/>
  <c r="IQ119" i="28"/>
  <c r="IR119" i="28"/>
  <c r="IS119" i="28"/>
  <c r="IT119" i="28"/>
  <c r="IU119" i="28"/>
  <c r="IV119" i="28"/>
  <c r="A118" i="28"/>
  <c r="B118" i="28"/>
  <c r="C118" i="28"/>
  <c r="D118" i="28"/>
  <c r="E118" i="28"/>
  <c r="F118" i="28"/>
  <c r="G118" i="28"/>
  <c r="H118" i="28"/>
  <c r="I118" i="28"/>
  <c r="J118" i="28"/>
  <c r="K118" i="28"/>
  <c r="L118" i="28"/>
  <c r="M118" i="28"/>
  <c r="N118" i="28"/>
  <c r="O118" i="28"/>
  <c r="P118" i="28"/>
  <c r="Q118" i="28"/>
  <c r="R118" i="28"/>
  <c r="S118" i="28"/>
  <c r="T118" i="28"/>
  <c r="U118" i="28"/>
  <c r="V118" i="28"/>
  <c r="W118" i="28"/>
  <c r="X118" i="28"/>
  <c r="Y118" i="28"/>
  <c r="Z118" i="28"/>
  <c r="AA118" i="28"/>
  <c r="AB118" i="28"/>
  <c r="AC118" i="28"/>
  <c r="AD118" i="28"/>
  <c r="AE118" i="28"/>
  <c r="AF118" i="28"/>
  <c r="AG118" i="28"/>
  <c r="AH118" i="28"/>
  <c r="AI118" i="28"/>
  <c r="AJ118" i="28"/>
  <c r="AK118" i="28"/>
  <c r="AL118" i="28"/>
  <c r="AM118" i="28"/>
  <c r="AN118" i="28"/>
  <c r="AO118" i="28"/>
  <c r="AP118" i="28"/>
  <c r="AQ118" i="28"/>
  <c r="AR118" i="28"/>
  <c r="AS118" i="28"/>
  <c r="AT118" i="28"/>
  <c r="AU118" i="28"/>
  <c r="AV118" i="28"/>
  <c r="AW118" i="28"/>
  <c r="AX118" i="28"/>
  <c r="AY118" i="28"/>
  <c r="AZ118" i="28"/>
  <c r="BA118" i="28"/>
  <c r="BB118" i="28"/>
  <c r="BC118" i="28"/>
  <c r="BD118" i="28"/>
  <c r="BE118" i="28"/>
  <c r="BF118" i="28"/>
  <c r="BG118" i="28"/>
  <c r="BH118" i="28"/>
  <c r="BI118" i="28"/>
  <c r="BJ118" i="28"/>
  <c r="BK118" i="28"/>
  <c r="BL118" i="28"/>
  <c r="BM118" i="28"/>
  <c r="BN118" i="28"/>
  <c r="BO118" i="28"/>
  <c r="BP118" i="28"/>
  <c r="BQ118" i="28"/>
  <c r="BR118" i="28"/>
  <c r="BS118" i="28"/>
  <c r="BT118" i="28"/>
  <c r="BU118" i="28"/>
  <c r="BV118" i="28"/>
  <c r="BW118" i="28"/>
  <c r="BX118" i="28"/>
  <c r="BY118" i="28"/>
  <c r="BZ118" i="28"/>
  <c r="CA118" i="28"/>
  <c r="CB118" i="28"/>
  <c r="CC118" i="28"/>
  <c r="CD118" i="28"/>
  <c r="CE118" i="28"/>
  <c r="CF118" i="28"/>
  <c r="CG118" i="28"/>
  <c r="CH118" i="28"/>
  <c r="CI118" i="28"/>
  <c r="CJ118" i="28"/>
  <c r="CK118" i="28"/>
  <c r="CL118" i="28"/>
  <c r="CM118" i="28"/>
  <c r="CN118" i="28"/>
  <c r="CO118" i="28"/>
  <c r="CP118" i="28"/>
  <c r="CQ118" i="28"/>
  <c r="CR118" i="28"/>
  <c r="CS118" i="28"/>
  <c r="CT118" i="28"/>
  <c r="CU118" i="28"/>
  <c r="CV118" i="28"/>
  <c r="CW118" i="28"/>
  <c r="CX118" i="28"/>
  <c r="CY118" i="28"/>
  <c r="CZ118" i="28"/>
  <c r="DA118" i="28"/>
  <c r="DB118" i="28"/>
  <c r="DC118" i="28"/>
  <c r="DD118" i="28"/>
  <c r="DE118" i="28"/>
  <c r="DF118" i="28"/>
  <c r="DG118" i="28"/>
  <c r="DH118" i="28"/>
  <c r="DI118" i="28"/>
  <c r="DJ118" i="28"/>
  <c r="DK118" i="28"/>
  <c r="DL118" i="28"/>
  <c r="DM118" i="28"/>
  <c r="DN118" i="28"/>
  <c r="DO118" i="28"/>
  <c r="DP118" i="28"/>
  <c r="DQ118" i="28"/>
  <c r="DR118" i="28"/>
  <c r="DS118" i="28"/>
  <c r="DT118" i="28"/>
  <c r="DU118" i="28"/>
  <c r="DV118" i="28"/>
  <c r="DW118" i="28"/>
  <c r="DX118" i="28"/>
  <c r="DY118" i="28"/>
  <c r="DZ118" i="28"/>
  <c r="EA118" i="28"/>
  <c r="EB118" i="28"/>
  <c r="EC118" i="28"/>
  <c r="ED118" i="28"/>
  <c r="EE118" i="28"/>
  <c r="EF118" i="28"/>
  <c r="EG118" i="28"/>
  <c r="EH118" i="28"/>
  <c r="EI118" i="28"/>
  <c r="EJ118" i="28"/>
  <c r="EK118" i="28"/>
  <c r="EL118" i="28"/>
  <c r="EM118" i="28"/>
  <c r="EN118" i="28"/>
  <c r="EO118" i="28"/>
  <c r="EP118" i="28"/>
  <c r="EQ118" i="28"/>
  <c r="ER118" i="28"/>
  <c r="ES118" i="28"/>
  <c r="ET118" i="28"/>
  <c r="EU118" i="28"/>
  <c r="EV118" i="28"/>
  <c r="EW118" i="28"/>
  <c r="EX118" i="28"/>
  <c r="EY118" i="28"/>
  <c r="EZ118" i="28"/>
  <c r="FA118" i="28"/>
  <c r="FB118" i="28"/>
  <c r="FC118" i="28"/>
  <c r="FD118" i="28"/>
  <c r="FE118" i="28"/>
  <c r="FF118" i="28"/>
  <c r="FG118" i="28"/>
  <c r="FH118" i="28"/>
  <c r="FI118" i="28"/>
  <c r="FJ118" i="28"/>
  <c r="FK118" i="28"/>
  <c r="FL118" i="28"/>
  <c r="FM118" i="28"/>
  <c r="FN118" i="28"/>
  <c r="FO118" i="28"/>
  <c r="FP118" i="28"/>
  <c r="FQ118" i="28"/>
  <c r="FR118" i="28"/>
  <c r="FS118" i="28"/>
  <c r="FT118" i="28"/>
  <c r="FU118" i="28"/>
  <c r="FV118" i="28"/>
  <c r="FW118" i="28"/>
  <c r="FX118" i="28"/>
  <c r="FY118" i="28"/>
  <c r="FZ118" i="28"/>
  <c r="GA118" i="28"/>
  <c r="GB118" i="28"/>
  <c r="GC118" i="28"/>
  <c r="GD118" i="28"/>
  <c r="GE118" i="28"/>
  <c r="GF118" i="28"/>
  <c r="GG118" i="28"/>
  <c r="GH118" i="28"/>
  <c r="GI118" i="28"/>
  <c r="GJ118" i="28"/>
  <c r="GK118" i="28"/>
  <c r="GL118" i="28"/>
  <c r="GM118" i="28"/>
  <c r="GN118" i="28"/>
  <c r="GO118" i="28"/>
  <c r="GP118" i="28"/>
  <c r="GQ118" i="28"/>
  <c r="GR118" i="28"/>
  <c r="GS118" i="28"/>
  <c r="GT118" i="28"/>
  <c r="GU118" i="28"/>
  <c r="GV118" i="28"/>
  <c r="GW118" i="28"/>
  <c r="GX118" i="28"/>
  <c r="GY118" i="28"/>
  <c r="GZ118" i="28"/>
  <c r="HA118" i="28"/>
  <c r="HB118" i="28"/>
  <c r="HC118" i="28"/>
  <c r="HD118" i="28"/>
  <c r="HE118" i="28"/>
  <c r="HF118" i="28"/>
  <c r="HG118" i="28"/>
  <c r="HH118" i="28"/>
  <c r="HI118" i="28"/>
  <c r="HJ118" i="28"/>
  <c r="HK118" i="28"/>
  <c r="HL118" i="28"/>
  <c r="HM118" i="28"/>
  <c r="HN118" i="28"/>
  <c r="HO118" i="28"/>
  <c r="HP118" i="28"/>
  <c r="HQ118" i="28"/>
  <c r="HR118" i="28"/>
  <c r="HS118" i="28"/>
  <c r="HT118" i="28"/>
  <c r="HU118" i="28"/>
  <c r="HV118" i="28"/>
  <c r="HW118" i="28"/>
  <c r="HX118" i="28"/>
  <c r="HY118" i="28"/>
  <c r="HZ118" i="28"/>
  <c r="IA118" i="28"/>
  <c r="IB118" i="28"/>
  <c r="IC118" i="28"/>
  <c r="ID118" i="28"/>
  <c r="IE118" i="28"/>
  <c r="IF118" i="28"/>
  <c r="IG118" i="28"/>
  <c r="IH118" i="28"/>
  <c r="II118" i="28"/>
  <c r="IJ118" i="28"/>
  <c r="IK118" i="28"/>
  <c r="IL118" i="28"/>
  <c r="IM118" i="28"/>
  <c r="IN118" i="28"/>
  <c r="IO118" i="28"/>
  <c r="IP118" i="28"/>
  <c r="IQ118" i="28"/>
  <c r="IR118" i="28"/>
  <c r="IS118" i="28"/>
  <c r="IT118" i="28"/>
  <c r="IU118" i="28"/>
  <c r="IV118" i="28"/>
  <c r="A117" i="28"/>
  <c r="B117" i="28"/>
  <c r="C117" i="28"/>
  <c r="D117" i="28"/>
  <c r="E117" i="28"/>
  <c r="F117" i="28"/>
  <c r="G117" i="28"/>
  <c r="H117" i="28"/>
  <c r="I117" i="28"/>
  <c r="J117" i="28"/>
  <c r="K117" i="28"/>
  <c r="L117" i="28"/>
  <c r="M117" i="28"/>
  <c r="N117" i="28"/>
  <c r="O117" i="28"/>
  <c r="P117" i="28"/>
  <c r="Q117" i="28"/>
  <c r="R117" i="28"/>
  <c r="S117" i="28"/>
  <c r="T117" i="28"/>
  <c r="U117" i="28"/>
  <c r="V117" i="28"/>
  <c r="W117" i="28"/>
  <c r="X117" i="28"/>
  <c r="Y117" i="28"/>
  <c r="Z117" i="28"/>
  <c r="AA117" i="28"/>
  <c r="AB117" i="28"/>
  <c r="AC117" i="28"/>
  <c r="AD117" i="28"/>
  <c r="AE117" i="28"/>
  <c r="AF117" i="28"/>
  <c r="AG117" i="28"/>
  <c r="AH117" i="28"/>
  <c r="AI117" i="28"/>
  <c r="AJ117" i="28"/>
  <c r="AK117" i="28"/>
  <c r="AL117" i="28"/>
  <c r="AM117" i="28"/>
  <c r="AN117" i="28"/>
  <c r="AO117" i="28"/>
  <c r="AP117" i="28"/>
  <c r="AQ117" i="28"/>
  <c r="AR117" i="28"/>
  <c r="AS117" i="28"/>
  <c r="AT117" i="28"/>
  <c r="AU117" i="28"/>
  <c r="AV117" i="28"/>
  <c r="AW117" i="28"/>
  <c r="AX117" i="28"/>
  <c r="AY117" i="28"/>
  <c r="AZ117" i="28"/>
  <c r="BA117" i="28"/>
  <c r="BB117" i="28"/>
  <c r="BC117" i="28"/>
  <c r="BD117" i="28"/>
  <c r="BE117" i="28"/>
  <c r="BF117" i="28"/>
  <c r="BG117" i="28"/>
  <c r="BH117" i="28"/>
  <c r="BI117" i="28"/>
  <c r="BJ117" i="28"/>
  <c r="BK117" i="28"/>
  <c r="BL117" i="28"/>
  <c r="BM117" i="28"/>
  <c r="BN117" i="28"/>
  <c r="BO117" i="28"/>
  <c r="BP117" i="28"/>
  <c r="BQ117" i="28"/>
  <c r="BR117" i="28"/>
  <c r="BS117" i="28"/>
  <c r="BT117" i="28"/>
  <c r="BU117" i="28"/>
  <c r="BV117" i="28"/>
  <c r="BW117" i="28"/>
  <c r="BX117" i="28"/>
  <c r="BY117" i="28"/>
  <c r="BZ117" i="28"/>
  <c r="CA117" i="28"/>
  <c r="CB117" i="28"/>
  <c r="CC117" i="28"/>
  <c r="CD117" i="28"/>
  <c r="CE117" i="28"/>
  <c r="CF117" i="28"/>
  <c r="CG117" i="28"/>
  <c r="CH117" i="28"/>
  <c r="CI117" i="28"/>
  <c r="CJ117" i="28"/>
  <c r="CK117" i="28"/>
  <c r="CL117" i="28"/>
  <c r="CM117" i="28"/>
  <c r="CN117" i="28"/>
  <c r="CO117" i="28"/>
  <c r="CP117" i="28"/>
  <c r="CQ117" i="28"/>
  <c r="CR117" i="28"/>
  <c r="CS117" i="28"/>
  <c r="CT117" i="28"/>
  <c r="CU117" i="28"/>
  <c r="CV117" i="28"/>
  <c r="CW117" i="28"/>
  <c r="CX117" i="28"/>
  <c r="CY117" i="28"/>
  <c r="CZ117" i="28"/>
  <c r="DA117" i="28"/>
  <c r="DB117" i="28"/>
  <c r="DC117" i="28"/>
  <c r="DD117" i="28"/>
  <c r="DE117" i="28"/>
  <c r="DF117" i="28"/>
  <c r="DG117" i="28"/>
  <c r="DH117" i="28"/>
  <c r="DI117" i="28"/>
  <c r="DJ117" i="28"/>
  <c r="DK117" i="28"/>
  <c r="DL117" i="28"/>
  <c r="DM117" i="28"/>
  <c r="DN117" i="28"/>
  <c r="DO117" i="28"/>
  <c r="DP117" i="28"/>
  <c r="DQ117" i="28"/>
  <c r="DR117" i="28"/>
  <c r="DS117" i="28"/>
  <c r="DT117" i="28"/>
  <c r="DU117" i="28"/>
  <c r="DV117" i="28"/>
  <c r="DW117" i="28"/>
  <c r="DX117" i="28"/>
  <c r="DY117" i="28"/>
  <c r="DZ117" i="28"/>
  <c r="EA117" i="28"/>
  <c r="EB117" i="28"/>
  <c r="EC117" i="28"/>
  <c r="ED117" i="28"/>
  <c r="EE117" i="28"/>
  <c r="EF117" i="28"/>
  <c r="EG117" i="28"/>
  <c r="EH117" i="28"/>
  <c r="EI117" i="28"/>
  <c r="EJ117" i="28"/>
  <c r="EK117" i="28"/>
  <c r="EL117" i="28"/>
  <c r="EM117" i="28"/>
  <c r="EN117" i="28"/>
  <c r="EO117" i="28"/>
  <c r="EP117" i="28"/>
  <c r="EQ117" i="28"/>
  <c r="ER117" i="28"/>
  <c r="ES117" i="28"/>
  <c r="ET117" i="28"/>
  <c r="EU117" i="28"/>
  <c r="EV117" i="28"/>
  <c r="EW117" i="28"/>
  <c r="EX117" i="28"/>
  <c r="EY117" i="28"/>
  <c r="EZ117" i="28"/>
  <c r="FA117" i="28"/>
  <c r="FB117" i="28"/>
  <c r="FC117" i="28"/>
  <c r="FD117" i="28"/>
  <c r="FE117" i="28"/>
  <c r="FF117" i="28"/>
  <c r="FG117" i="28"/>
  <c r="FH117" i="28"/>
  <c r="FI117" i="28"/>
  <c r="FJ117" i="28"/>
  <c r="FK117" i="28"/>
  <c r="FL117" i="28"/>
  <c r="FM117" i="28"/>
  <c r="FN117" i="28"/>
  <c r="FO117" i="28"/>
  <c r="FP117" i="28"/>
  <c r="FQ117" i="28"/>
  <c r="FR117" i="28"/>
  <c r="FS117" i="28"/>
  <c r="FT117" i="28"/>
  <c r="FU117" i="28"/>
  <c r="FV117" i="28"/>
  <c r="FW117" i="28"/>
  <c r="FX117" i="28"/>
  <c r="FY117" i="28"/>
  <c r="FZ117" i="28"/>
  <c r="GA117" i="28"/>
  <c r="GB117" i="28"/>
  <c r="GC117" i="28"/>
  <c r="GD117" i="28"/>
  <c r="GE117" i="28"/>
  <c r="GF117" i="28"/>
  <c r="GG117" i="28"/>
  <c r="GH117" i="28"/>
  <c r="GI117" i="28"/>
  <c r="GJ117" i="28"/>
  <c r="GK117" i="28"/>
  <c r="GL117" i="28"/>
  <c r="GM117" i="28"/>
  <c r="GN117" i="28"/>
  <c r="GO117" i="28"/>
  <c r="GP117" i="28"/>
  <c r="GQ117" i="28"/>
  <c r="GR117" i="28"/>
  <c r="GS117" i="28"/>
  <c r="GT117" i="28"/>
  <c r="GU117" i="28"/>
  <c r="GV117" i="28"/>
  <c r="GW117" i="28"/>
  <c r="GX117" i="28"/>
  <c r="GY117" i="28"/>
  <c r="GZ117" i="28"/>
  <c r="HA117" i="28"/>
  <c r="HB117" i="28"/>
  <c r="HC117" i="28"/>
  <c r="HD117" i="28"/>
  <c r="HE117" i="28"/>
  <c r="HF117" i="28"/>
  <c r="HG117" i="28"/>
  <c r="HH117" i="28"/>
  <c r="HI117" i="28"/>
  <c r="HJ117" i="28"/>
  <c r="HK117" i="28"/>
  <c r="HL117" i="28"/>
  <c r="HM117" i="28"/>
  <c r="HN117" i="28"/>
  <c r="HO117" i="28"/>
  <c r="HP117" i="28"/>
  <c r="HQ117" i="28"/>
  <c r="HR117" i="28"/>
  <c r="HS117" i="28"/>
  <c r="HT117" i="28"/>
  <c r="HU117" i="28"/>
  <c r="HV117" i="28"/>
  <c r="HW117" i="28"/>
  <c r="HX117" i="28"/>
  <c r="HY117" i="28"/>
  <c r="HZ117" i="28"/>
  <c r="IA117" i="28"/>
  <c r="IB117" i="28"/>
  <c r="IC117" i="28"/>
  <c r="ID117" i="28"/>
  <c r="IE117" i="28"/>
  <c r="IF117" i="28"/>
  <c r="IG117" i="28"/>
  <c r="IH117" i="28"/>
  <c r="II117" i="28"/>
  <c r="IJ117" i="28"/>
  <c r="IK117" i="28"/>
  <c r="IL117" i="28"/>
  <c r="IM117" i="28"/>
  <c r="IN117" i="28"/>
  <c r="IO117" i="28"/>
  <c r="IP117" i="28"/>
  <c r="IQ117" i="28"/>
  <c r="IR117" i="28"/>
  <c r="IS117" i="28"/>
  <c r="IT117" i="28"/>
  <c r="IU117" i="28"/>
  <c r="IV117" i="28"/>
  <c r="A116" i="28"/>
  <c r="B116" i="28"/>
  <c r="C116" i="28"/>
  <c r="D116" i="28"/>
  <c r="E116" i="28"/>
  <c r="F116" i="28"/>
  <c r="G116" i="28"/>
  <c r="H116" i="28"/>
  <c r="I116" i="28"/>
  <c r="J116" i="28"/>
  <c r="K116" i="28"/>
  <c r="L116" i="28"/>
  <c r="M116" i="28"/>
  <c r="N116" i="28"/>
  <c r="O116" i="28"/>
  <c r="P116" i="28"/>
  <c r="Q116" i="28"/>
  <c r="R116" i="28"/>
  <c r="S116" i="28"/>
  <c r="T116" i="28"/>
  <c r="U116" i="28"/>
  <c r="V116" i="28"/>
  <c r="W116" i="28"/>
  <c r="X116" i="28"/>
  <c r="Y116" i="28"/>
  <c r="Z116" i="28"/>
  <c r="AA116" i="28"/>
  <c r="AB116" i="28"/>
  <c r="AC116" i="28"/>
  <c r="AD116" i="28"/>
  <c r="AE116" i="28"/>
  <c r="AF116" i="28"/>
  <c r="AG116" i="28"/>
  <c r="AH116" i="28"/>
  <c r="AI116" i="28"/>
  <c r="AJ116" i="28"/>
  <c r="AK116" i="28"/>
  <c r="AL116" i="28"/>
  <c r="AM116" i="28"/>
  <c r="AN116" i="28"/>
  <c r="AO116" i="28"/>
  <c r="AP116" i="28"/>
  <c r="AQ116" i="28"/>
  <c r="AR116" i="28"/>
  <c r="AS116" i="28"/>
  <c r="AT116" i="28"/>
  <c r="AU116" i="28"/>
  <c r="AV116" i="28"/>
  <c r="AW116" i="28"/>
  <c r="AX116" i="28"/>
  <c r="AY116" i="28"/>
  <c r="AZ116" i="28"/>
  <c r="BA116" i="28"/>
  <c r="BB116" i="28"/>
  <c r="BC116" i="28"/>
  <c r="BD116" i="28"/>
  <c r="BE116" i="28"/>
  <c r="BF116" i="28"/>
  <c r="BG116" i="28"/>
  <c r="BH116" i="28"/>
  <c r="BI116" i="28"/>
  <c r="BJ116" i="28"/>
  <c r="BK116" i="28"/>
  <c r="BL116" i="28"/>
  <c r="BM116" i="28"/>
  <c r="BN116" i="28"/>
  <c r="BO116" i="28"/>
  <c r="BP116" i="28"/>
  <c r="BQ116" i="28"/>
  <c r="BR116" i="28"/>
  <c r="BS116" i="28"/>
  <c r="BT116" i="28"/>
  <c r="BU116" i="28"/>
  <c r="BV116" i="28"/>
  <c r="BW116" i="28"/>
  <c r="BX116" i="28"/>
  <c r="BY116" i="28"/>
  <c r="BZ116" i="28"/>
  <c r="CA116" i="28"/>
  <c r="CB116" i="28"/>
  <c r="CC116" i="28"/>
  <c r="CD116" i="28"/>
  <c r="CE116" i="28"/>
  <c r="CF116" i="28"/>
  <c r="CG116" i="28"/>
  <c r="CH116" i="28"/>
  <c r="CI116" i="28"/>
  <c r="CJ116" i="28"/>
  <c r="CK116" i="28"/>
  <c r="CL116" i="28"/>
  <c r="CM116" i="28"/>
  <c r="CN116" i="28"/>
  <c r="CO116" i="28"/>
  <c r="CP116" i="28"/>
  <c r="CQ116" i="28"/>
  <c r="CR116" i="28"/>
  <c r="CS116" i="28"/>
  <c r="CT116" i="28"/>
  <c r="CU116" i="28"/>
  <c r="CV116" i="28"/>
  <c r="CW116" i="28"/>
  <c r="CX116" i="28"/>
  <c r="CY116" i="28"/>
  <c r="CZ116" i="28"/>
  <c r="DA116" i="28"/>
  <c r="DB116" i="28"/>
  <c r="DC116" i="28"/>
  <c r="DD116" i="28"/>
  <c r="DE116" i="28"/>
  <c r="DF116" i="28"/>
  <c r="DG116" i="28"/>
  <c r="DH116" i="28"/>
  <c r="DI116" i="28"/>
  <c r="DJ116" i="28"/>
  <c r="DK116" i="28"/>
  <c r="DL116" i="28"/>
  <c r="DM116" i="28"/>
  <c r="DN116" i="28"/>
  <c r="DO116" i="28"/>
  <c r="DP116" i="28"/>
  <c r="DQ116" i="28"/>
  <c r="DR116" i="28"/>
  <c r="DS116" i="28"/>
  <c r="DT116" i="28"/>
  <c r="DU116" i="28"/>
  <c r="DV116" i="28"/>
  <c r="DW116" i="28"/>
  <c r="DX116" i="28"/>
  <c r="DY116" i="28"/>
  <c r="DZ116" i="28"/>
  <c r="EA116" i="28"/>
  <c r="EB116" i="28"/>
  <c r="EC116" i="28"/>
  <c r="ED116" i="28"/>
  <c r="EE116" i="28"/>
  <c r="EF116" i="28"/>
  <c r="EG116" i="28"/>
  <c r="EH116" i="28"/>
  <c r="EI116" i="28"/>
  <c r="EJ116" i="28"/>
  <c r="EK116" i="28"/>
  <c r="EL116" i="28"/>
  <c r="EM116" i="28"/>
  <c r="EN116" i="28"/>
  <c r="EO116" i="28"/>
  <c r="EP116" i="28"/>
  <c r="EQ116" i="28"/>
  <c r="ER116" i="28"/>
  <c r="ES116" i="28"/>
  <c r="ET116" i="28"/>
  <c r="EU116" i="28"/>
  <c r="EV116" i="28"/>
  <c r="EW116" i="28"/>
  <c r="EX116" i="28"/>
  <c r="EY116" i="28"/>
  <c r="EZ116" i="28"/>
  <c r="FA116" i="28"/>
  <c r="FB116" i="28"/>
  <c r="FC116" i="28"/>
  <c r="FD116" i="28"/>
  <c r="FE116" i="28"/>
  <c r="FF116" i="28"/>
  <c r="FG116" i="28"/>
  <c r="FH116" i="28"/>
  <c r="FI116" i="28"/>
  <c r="FJ116" i="28"/>
  <c r="FK116" i="28"/>
  <c r="FL116" i="28"/>
  <c r="FM116" i="28"/>
  <c r="FN116" i="28"/>
  <c r="FO116" i="28"/>
  <c r="FP116" i="28"/>
  <c r="FQ116" i="28"/>
  <c r="FR116" i="28"/>
  <c r="FS116" i="28"/>
  <c r="FT116" i="28"/>
  <c r="FU116" i="28"/>
  <c r="FV116" i="28"/>
  <c r="FW116" i="28"/>
  <c r="FX116" i="28"/>
  <c r="FY116" i="28"/>
  <c r="FZ116" i="28"/>
  <c r="GA116" i="28"/>
  <c r="GB116" i="28"/>
  <c r="GC116" i="28"/>
  <c r="GD116" i="28"/>
  <c r="GE116" i="28"/>
  <c r="GF116" i="28"/>
  <c r="GG116" i="28"/>
  <c r="GH116" i="28"/>
  <c r="GI116" i="28"/>
  <c r="GJ116" i="28"/>
  <c r="GK116" i="28"/>
  <c r="GL116" i="28"/>
  <c r="GM116" i="28"/>
  <c r="GN116" i="28"/>
  <c r="GO116" i="28"/>
  <c r="GP116" i="28"/>
  <c r="GQ116" i="28"/>
  <c r="GR116" i="28"/>
  <c r="GS116" i="28"/>
  <c r="GT116" i="28"/>
  <c r="GU116" i="28"/>
  <c r="GV116" i="28"/>
  <c r="GW116" i="28"/>
  <c r="GX116" i="28"/>
  <c r="GY116" i="28"/>
  <c r="GZ116" i="28"/>
  <c r="HA116" i="28"/>
  <c r="HB116" i="28"/>
  <c r="HC116" i="28"/>
  <c r="HD116" i="28"/>
  <c r="HE116" i="28"/>
  <c r="HF116" i="28"/>
  <c r="HG116" i="28"/>
  <c r="HH116" i="28"/>
  <c r="HI116" i="28"/>
  <c r="HJ116" i="28"/>
  <c r="HK116" i="28"/>
  <c r="HL116" i="28"/>
  <c r="HM116" i="28"/>
  <c r="HN116" i="28"/>
  <c r="HO116" i="28"/>
  <c r="HP116" i="28"/>
  <c r="HQ116" i="28"/>
  <c r="HR116" i="28"/>
  <c r="HS116" i="28"/>
  <c r="HT116" i="28"/>
  <c r="HU116" i="28"/>
  <c r="HV116" i="28"/>
  <c r="HW116" i="28"/>
  <c r="HX116" i="28"/>
  <c r="HY116" i="28"/>
  <c r="HZ116" i="28"/>
  <c r="IA116" i="28"/>
  <c r="IB116" i="28"/>
  <c r="IC116" i="28"/>
  <c r="ID116" i="28"/>
  <c r="IE116" i="28"/>
  <c r="IF116" i="28"/>
  <c r="IG116" i="28"/>
  <c r="IH116" i="28"/>
  <c r="II116" i="28"/>
  <c r="IJ116" i="28"/>
  <c r="IK116" i="28"/>
  <c r="IL116" i="28"/>
  <c r="IM116" i="28"/>
  <c r="IN116" i="28"/>
  <c r="IO116" i="28"/>
  <c r="IP116" i="28"/>
  <c r="IQ116" i="28"/>
  <c r="IR116" i="28"/>
  <c r="IS116" i="28"/>
  <c r="IT116" i="28"/>
  <c r="IU116" i="28"/>
  <c r="IV116" i="28"/>
  <c r="A115" i="28"/>
  <c r="B115" i="28"/>
  <c r="C115" i="28"/>
  <c r="D115" i="28"/>
  <c r="E115" i="28"/>
  <c r="F115" i="28"/>
  <c r="G115" i="28"/>
  <c r="H115" i="28"/>
  <c r="I115" i="28"/>
  <c r="J115" i="28"/>
  <c r="K115" i="28"/>
  <c r="L115" i="28"/>
  <c r="M115" i="28"/>
  <c r="N115" i="28"/>
  <c r="O115" i="28"/>
  <c r="P115" i="28"/>
  <c r="Q115" i="28"/>
  <c r="R115" i="28"/>
  <c r="S115" i="28"/>
  <c r="T115" i="28"/>
  <c r="U115" i="28"/>
  <c r="V115" i="28"/>
  <c r="W115" i="28"/>
  <c r="X115" i="28"/>
  <c r="Y115" i="28"/>
  <c r="Z115" i="28"/>
  <c r="AA115" i="28"/>
  <c r="AB115" i="28"/>
  <c r="AC115" i="28"/>
  <c r="AD115" i="28"/>
  <c r="AE115" i="28"/>
  <c r="AF115" i="28"/>
  <c r="AG115" i="28"/>
  <c r="AH115" i="28"/>
  <c r="AI115" i="28"/>
  <c r="AJ115" i="28"/>
  <c r="AK115" i="28"/>
  <c r="AL115" i="28"/>
  <c r="AM115" i="28"/>
  <c r="AN115" i="28"/>
  <c r="AO115" i="28"/>
  <c r="AP115" i="28"/>
  <c r="AQ115" i="28"/>
  <c r="AR115" i="28"/>
  <c r="AS115" i="28"/>
  <c r="AT115" i="28"/>
  <c r="AU115" i="28"/>
  <c r="AV115" i="28"/>
  <c r="AW115" i="28"/>
  <c r="AX115" i="28"/>
  <c r="AY115" i="28"/>
  <c r="AZ115" i="28"/>
  <c r="BA115" i="28"/>
  <c r="BB115" i="28"/>
  <c r="BC115" i="28"/>
  <c r="BD115" i="28"/>
  <c r="BE115" i="28"/>
  <c r="BF115" i="28"/>
  <c r="BG115" i="28"/>
  <c r="BH115" i="28"/>
  <c r="BI115" i="28"/>
  <c r="BJ115" i="28"/>
  <c r="BK115" i="28"/>
  <c r="BL115" i="28"/>
  <c r="BM115" i="28"/>
  <c r="BN115" i="28"/>
  <c r="BO115" i="28"/>
  <c r="BP115" i="28"/>
  <c r="BQ115" i="28"/>
  <c r="BR115" i="28"/>
  <c r="BS115" i="28"/>
  <c r="BT115" i="28"/>
  <c r="BU115" i="28"/>
  <c r="BV115" i="28"/>
  <c r="BW115" i="28"/>
  <c r="BX115" i="28"/>
  <c r="BY115" i="28"/>
  <c r="BZ115" i="28"/>
  <c r="CA115" i="28"/>
  <c r="CB115" i="28"/>
  <c r="CC115" i="28"/>
  <c r="CD115" i="28"/>
  <c r="CE115" i="28"/>
  <c r="CF115" i="28"/>
  <c r="CG115" i="28"/>
  <c r="CH115" i="28"/>
  <c r="CI115" i="28"/>
  <c r="CJ115" i="28"/>
  <c r="CK115" i="28"/>
  <c r="CL115" i="28"/>
  <c r="CM115" i="28"/>
  <c r="CN115" i="28"/>
  <c r="CO115" i="28"/>
  <c r="CP115" i="28"/>
  <c r="CQ115" i="28"/>
  <c r="CR115" i="28"/>
  <c r="CS115" i="28"/>
  <c r="CT115" i="28"/>
  <c r="CU115" i="28"/>
  <c r="CV115" i="28"/>
  <c r="CW115" i="28"/>
  <c r="CX115" i="28"/>
  <c r="CY115" i="28"/>
  <c r="CZ115" i="28"/>
  <c r="DA115" i="28"/>
  <c r="DB115" i="28"/>
  <c r="DC115" i="28"/>
  <c r="DD115" i="28"/>
  <c r="DE115" i="28"/>
  <c r="DF115" i="28"/>
  <c r="DG115" i="28"/>
  <c r="DH115" i="28"/>
  <c r="DI115" i="28"/>
  <c r="DJ115" i="28"/>
  <c r="DK115" i="28"/>
  <c r="DL115" i="28"/>
  <c r="DM115" i="28"/>
  <c r="DN115" i="28"/>
  <c r="DO115" i="28"/>
  <c r="DP115" i="28"/>
  <c r="DQ115" i="28"/>
  <c r="DR115" i="28"/>
  <c r="DS115" i="28"/>
  <c r="DT115" i="28"/>
  <c r="DU115" i="28"/>
  <c r="DV115" i="28"/>
  <c r="DW115" i="28"/>
  <c r="DX115" i="28"/>
  <c r="DY115" i="28"/>
  <c r="DZ115" i="28"/>
  <c r="EA115" i="28"/>
  <c r="EB115" i="28"/>
  <c r="EC115" i="28"/>
  <c r="ED115" i="28"/>
  <c r="EE115" i="28"/>
  <c r="EF115" i="28"/>
  <c r="EG115" i="28"/>
  <c r="EH115" i="28"/>
  <c r="EI115" i="28"/>
  <c r="EJ115" i="28"/>
  <c r="EK115" i="28"/>
  <c r="EL115" i="28"/>
  <c r="EM115" i="28"/>
  <c r="EN115" i="28"/>
  <c r="EO115" i="28"/>
  <c r="EP115" i="28"/>
  <c r="EQ115" i="28"/>
  <c r="ER115" i="28"/>
  <c r="ES115" i="28"/>
  <c r="ET115" i="28"/>
  <c r="EU115" i="28"/>
  <c r="EV115" i="28"/>
  <c r="EW115" i="28"/>
  <c r="EX115" i="28"/>
  <c r="EY115" i="28"/>
  <c r="EZ115" i="28"/>
  <c r="FA115" i="28"/>
  <c r="FB115" i="28"/>
  <c r="FC115" i="28"/>
  <c r="FD115" i="28"/>
  <c r="FE115" i="28"/>
  <c r="FF115" i="28"/>
  <c r="FG115" i="28"/>
  <c r="FH115" i="28"/>
  <c r="FI115" i="28"/>
  <c r="FJ115" i="28"/>
  <c r="FK115" i="28"/>
  <c r="FL115" i="28"/>
  <c r="FM115" i="28"/>
  <c r="FN115" i="28"/>
  <c r="FO115" i="28"/>
  <c r="FP115" i="28"/>
  <c r="FQ115" i="28"/>
  <c r="FR115" i="28"/>
  <c r="FS115" i="28"/>
  <c r="FT115" i="28"/>
  <c r="FU115" i="28"/>
  <c r="FV115" i="28"/>
  <c r="FW115" i="28"/>
  <c r="FX115" i="28"/>
  <c r="FY115" i="28"/>
  <c r="FZ115" i="28"/>
  <c r="GA115" i="28"/>
  <c r="GB115" i="28"/>
  <c r="GC115" i="28"/>
  <c r="GD115" i="28"/>
  <c r="GE115" i="28"/>
  <c r="GF115" i="28"/>
  <c r="GG115" i="28"/>
  <c r="GH115" i="28"/>
  <c r="GI115" i="28"/>
  <c r="GJ115" i="28"/>
  <c r="GK115" i="28"/>
  <c r="GL115" i="28"/>
  <c r="GM115" i="28"/>
  <c r="GN115" i="28"/>
  <c r="GO115" i="28"/>
  <c r="GP115" i="28"/>
  <c r="GQ115" i="28"/>
  <c r="GR115" i="28"/>
  <c r="GS115" i="28"/>
  <c r="GT115" i="28"/>
  <c r="GU115" i="28"/>
  <c r="GV115" i="28"/>
  <c r="GW115" i="28"/>
  <c r="GX115" i="28"/>
  <c r="GY115" i="28"/>
  <c r="GZ115" i="28"/>
  <c r="HA115" i="28"/>
  <c r="HB115" i="28"/>
  <c r="HC115" i="28"/>
  <c r="HD115" i="28"/>
  <c r="HE115" i="28"/>
  <c r="HF115" i="28"/>
  <c r="HG115" i="28"/>
  <c r="HH115" i="28"/>
  <c r="HI115" i="28"/>
  <c r="HJ115" i="28"/>
  <c r="HK115" i="28"/>
  <c r="HL115" i="28"/>
  <c r="HM115" i="28"/>
  <c r="HN115" i="28"/>
  <c r="HO115" i="28"/>
  <c r="HP115" i="28"/>
  <c r="HQ115" i="28"/>
  <c r="HR115" i="28"/>
  <c r="HS115" i="28"/>
  <c r="HT115" i="28"/>
  <c r="HU115" i="28"/>
  <c r="HV115" i="28"/>
  <c r="HW115" i="28"/>
  <c r="HX115" i="28"/>
  <c r="HY115" i="28"/>
  <c r="HZ115" i="28"/>
  <c r="IA115" i="28"/>
  <c r="IB115" i="28"/>
  <c r="IC115" i="28"/>
  <c r="ID115" i="28"/>
  <c r="IE115" i="28"/>
  <c r="IF115" i="28"/>
  <c r="IG115" i="28"/>
  <c r="IH115" i="28"/>
  <c r="II115" i="28"/>
  <c r="IJ115" i="28"/>
  <c r="IK115" i="28"/>
  <c r="IL115" i="28"/>
  <c r="IM115" i="28"/>
  <c r="IN115" i="28"/>
  <c r="IO115" i="28"/>
  <c r="IP115" i="28"/>
  <c r="IQ115" i="28"/>
  <c r="IR115" i="28"/>
  <c r="IS115" i="28"/>
  <c r="IT115" i="28"/>
  <c r="IU115" i="28"/>
  <c r="IV115" i="28"/>
  <c r="A114" i="28"/>
  <c r="B114" i="28"/>
  <c r="C114" i="28"/>
  <c r="D114" i="28"/>
  <c r="E114" i="28"/>
  <c r="G114" i="28"/>
  <c r="H114" i="28"/>
  <c r="I114" i="28"/>
  <c r="J114" i="28"/>
  <c r="K114" i="28"/>
  <c r="L114" i="28"/>
  <c r="M114" i="28"/>
  <c r="N114" i="28"/>
  <c r="O114" i="28"/>
  <c r="P114" i="28"/>
  <c r="Q114" i="28"/>
  <c r="R114" i="28"/>
  <c r="S114" i="28"/>
  <c r="T114" i="28"/>
  <c r="U114" i="28"/>
  <c r="V114" i="28"/>
  <c r="W114" i="28"/>
  <c r="X114" i="28"/>
  <c r="Y114" i="28"/>
  <c r="Z114" i="28"/>
  <c r="AA114" i="28"/>
  <c r="AB114" i="28"/>
  <c r="AC114" i="28"/>
  <c r="AD114" i="28"/>
  <c r="AE114" i="28"/>
  <c r="AF114" i="28"/>
  <c r="AG114" i="28"/>
  <c r="AH114" i="28"/>
  <c r="AI114" i="28"/>
  <c r="AJ114" i="28"/>
  <c r="AK114" i="28"/>
  <c r="AL114" i="28"/>
  <c r="AM114" i="28"/>
  <c r="AN114" i="28"/>
  <c r="AO114" i="28"/>
  <c r="AP114" i="28"/>
  <c r="AQ114" i="28"/>
  <c r="AR114" i="28"/>
  <c r="AS114" i="28"/>
  <c r="AT114" i="28"/>
  <c r="AU114" i="28"/>
  <c r="AV114" i="28"/>
  <c r="AW114" i="28"/>
  <c r="AX114" i="28"/>
  <c r="AY114" i="28"/>
  <c r="AZ114" i="28"/>
  <c r="BA114" i="28"/>
  <c r="BB114" i="28"/>
  <c r="BC114" i="28"/>
  <c r="BD114" i="28"/>
  <c r="BE114" i="28"/>
  <c r="BF114" i="28"/>
  <c r="BG114" i="28"/>
  <c r="BH114" i="28"/>
  <c r="BI114" i="28"/>
  <c r="BJ114" i="28"/>
  <c r="BK114" i="28"/>
  <c r="BL114" i="28"/>
  <c r="BM114" i="28"/>
  <c r="BN114" i="28"/>
  <c r="BO114" i="28"/>
  <c r="BP114" i="28"/>
  <c r="BQ114" i="28"/>
  <c r="BR114" i="28"/>
  <c r="BS114" i="28"/>
  <c r="BT114" i="28"/>
  <c r="BU114" i="28"/>
  <c r="BV114" i="28"/>
  <c r="BW114" i="28"/>
  <c r="BX114" i="28"/>
  <c r="BY114" i="28"/>
  <c r="BZ114" i="28"/>
  <c r="CA114" i="28"/>
  <c r="CB114" i="28"/>
  <c r="CC114" i="28"/>
  <c r="CD114" i="28"/>
  <c r="CE114" i="28"/>
  <c r="CF114" i="28"/>
  <c r="CG114" i="28"/>
  <c r="CH114" i="28"/>
  <c r="CI114" i="28"/>
  <c r="CJ114" i="28"/>
  <c r="CK114" i="28"/>
  <c r="CL114" i="28"/>
  <c r="CM114" i="28"/>
  <c r="CN114" i="28"/>
  <c r="CO114" i="28"/>
  <c r="CP114" i="28"/>
  <c r="CQ114" i="28"/>
  <c r="CR114" i="28"/>
  <c r="CS114" i="28"/>
  <c r="CT114" i="28"/>
  <c r="CU114" i="28"/>
  <c r="CV114" i="28"/>
  <c r="CW114" i="28"/>
  <c r="CX114" i="28"/>
  <c r="CY114" i="28"/>
  <c r="CZ114" i="28"/>
  <c r="DA114" i="28"/>
  <c r="DB114" i="28"/>
  <c r="DC114" i="28"/>
  <c r="DD114" i="28"/>
  <c r="DE114" i="28"/>
  <c r="DF114" i="28"/>
  <c r="DG114" i="28"/>
  <c r="DM114" i="28"/>
  <c r="DN114" i="28"/>
  <c r="DO114" i="28"/>
  <c r="DP114" i="28"/>
  <c r="DQ114" i="28"/>
  <c r="DR114" i="28"/>
  <c r="DS114" i="28"/>
  <c r="DT114" i="28"/>
  <c r="DU114" i="28"/>
  <c r="DV114" i="28"/>
  <c r="DW114" i="28"/>
  <c r="DX114" i="28"/>
  <c r="DY114" i="28"/>
  <c r="DZ114" i="28"/>
  <c r="EA114" i="28"/>
  <c r="EB114" i="28"/>
  <c r="EC114" i="28"/>
  <c r="ED114" i="28"/>
  <c r="EE114" i="28"/>
  <c r="EF114" i="28"/>
  <c r="EG114" i="28"/>
  <c r="EH114" i="28"/>
  <c r="EI114" i="28"/>
  <c r="EJ114" i="28"/>
  <c r="EK114" i="28"/>
  <c r="EL114" i="28"/>
  <c r="EM114" i="28"/>
  <c r="EN114" i="28"/>
  <c r="EO114" i="28"/>
  <c r="EP114" i="28"/>
  <c r="EQ114" i="28"/>
  <c r="ER114" i="28"/>
  <c r="ES114" i="28"/>
  <c r="ET114" i="28"/>
  <c r="EU114" i="28"/>
  <c r="EV114" i="28"/>
  <c r="EW114" i="28"/>
  <c r="EX114" i="28"/>
  <c r="EY114" i="28"/>
  <c r="EZ114" i="28"/>
  <c r="FA114" i="28"/>
  <c r="FB114" i="28"/>
  <c r="FC114" i="28"/>
  <c r="FD114" i="28"/>
  <c r="FE114" i="28"/>
  <c r="FF114" i="28"/>
  <c r="FG114" i="28"/>
  <c r="FH114" i="28"/>
  <c r="FI114" i="28"/>
  <c r="FJ114" i="28"/>
  <c r="FK114" i="28"/>
  <c r="FL114" i="28"/>
  <c r="FM114" i="28"/>
  <c r="FN114" i="28"/>
  <c r="FO114" i="28"/>
  <c r="FP114" i="28"/>
  <c r="FQ114" i="28"/>
  <c r="FR114" i="28"/>
  <c r="FS114" i="28"/>
  <c r="FT114" i="28"/>
  <c r="FU114" i="28"/>
  <c r="FV114" i="28"/>
  <c r="FW114" i="28"/>
  <c r="FX114" i="28"/>
  <c r="FY114" i="28"/>
  <c r="FZ114" i="28"/>
  <c r="GA114" i="28"/>
  <c r="GB114" i="28"/>
  <c r="GC114" i="28"/>
  <c r="GD114" i="28"/>
  <c r="GE114" i="28"/>
  <c r="GF114" i="28"/>
  <c r="GG114" i="28"/>
  <c r="GH114" i="28"/>
  <c r="GI114" i="28"/>
  <c r="GJ114" i="28"/>
  <c r="GK114" i="28"/>
  <c r="GL114" i="28"/>
  <c r="GM114" i="28"/>
  <c r="GN114" i="28"/>
  <c r="GO114" i="28"/>
  <c r="GP114" i="28"/>
  <c r="GQ114" i="28"/>
  <c r="GR114" i="28"/>
  <c r="GS114" i="28"/>
  <c r="GT114" i="28"/>
  <c r="GU114" i="28"/>
  <c r="GV114" i="28"/>
  <c r="GW114" i="28"/>
  <c r="GX114" i="28"/>
  <c r="GY114" i="28"/>
  <c r="GZ114" i="28"/>
  <c r="HA114" i="28"/>
  <c r="HB114" i="28"/>
  <c r="HC114" i="28"/>
  <c r="HD114" i="28"/>
  <c r="HE114" i="28"/>
  <c r="HF114" i="28"/>
  <c r="HG114" i="28"/>
  <c r="HH114" i="28"/>
  <c r="HI114" i="28"/>
  <c r="HJ114" i="28"/>
  <c r="HK114" i="28"/>
  <c r="HL114" i="28"/>
  <c r="HM114" i="28"/>
  <c r="HN114" i="28"/>
  <c r="HO114" i="28"/>
  <c r="HP114" i="28"/>
  <c r="HQ114" i="28"/>
  <c r="HR114" i="28"/>
  <c r="HS114" i="28"/>
  <c r="HT114" i="28"/>
  <c r="HU114" i="28"/>
  <c r="HV114" i="28"/>
  <c r="HW114" i="28"/>
  <c r="HX114" i="28"/>
  <c r="HY114" i="28"/>
  <c r="HZ114" i="28"/>
  <c r="IA114" i="28"/>
  <c r="IB114" i="28"/>
  <c r="IC114" i="28"/>
  <c r="ID114" i="28"/>
  <c r="IE114" i="28"/>
  <c r="IF114" i="28"/>
  <c r="IG114" i="28"/>
  <c r="IH114" i="28"/>
  <c r="II114" i="28"/>
  <c r="IJ114" i="28"/>
  <c r="IK114" i="28"/>
  <c r="IL114" i="28"/>
  <c r="IM114" i="28"/>
  <c r="IN114" i="28"/>
  <c r="IO114" i="28"/>
  <c r="IP114" i="28"/>
  <c r="IQ114" i="28"/>
  <c r="IR114" i="28"/>
  <c r="IS114" i="28"/>
  <c r="IT114" i="28"/>
  <c r="IU114" i="28"/>
  <c r="IV114" i="28"/>
  <c r="A113" i="28"/>
  <c r="B113" i="28"/>
  <c r="D113" i="28"/>
  <c r="E113" i="28"/>
  <c r="F113" i="28"/>
  <c r="G113" i="28"/>
  <c r="H113" i="28"/>
  <c r="I113" i="28"/>
  <c r="J113" i="28"/>
  <c r="K113" i="28"/>
  <c r="L113" i="28"/>
  <c r="M113" i="28"/>
  <c r="N113" i="28"/>
  <c r="O113" i="28"/>
  <c r="P113" i="28"/>
  <c r="Q113" i="28"/>
  <c r="R113" i="28"/>
  <c r="S113" i="28"/>
  <c r="T113" i="28"/>
  <c r="U113" i="28"/>
  <c r="V113" i="28"/>
  <c r="W113" i="28"/>
  <c r="X113" i="28"/>
  <c r="Y113" i="28"/>
  <c r="Z113" i="28"/>
  <c r="AA113" i="28"/>
  <c r="AB113" i="28"/>
  <c r="AC113" i="28"/>
  <c r="AD113" i="28"/>
  <c r="AE113" i="28"/>
  <c r="AF113" i="28"/>
  <c r="AG113" i="28"/>
  <c r="AH113" i="28"/>
  <c r="AI113" i="28"/>
  <c r="AJ113" i="28"/>
  <c r="AK113" i="28"/>
  <c r="AL113" i="28"/>
  <c r="AM113" i="28"/>
  <c r="AN113" i="28"/>
  <c r="AO113" i="28"/>
  <c r="AP113" i="28"/>
  <c r="AQ113" i="28"/>
  <c r="AR113" i="28"/>
  <c r="AS113" i="28"/>
  <c r="AT113" i="28"/>
  <c r="AU113" i="28"/>
  <c r="AV113" i="28"/>
  <c r="AW113" i="28"/>
  <c r="AX113" i="28"/>
  <c r="AY113" i="28"/>
  <c r="AZ113" i="28"/>
  <c r="BA113" i="28"/>
  <c r="BB113" i="28"/>
  <c r="BC113" i="28"/>
  <c r="BD113" i="28"/>
  <c r="BE113" i="28"/>
  <c r="BF113" i="28"/>
  <c r="BG113" i="28"/>
  <c r="BH113" i="28"/>
  <c r="BI113" i="28"/>
  <c r="BJ113" i="28"/>
  <c r="BK113" i="28"/>
  <c r="BL113" i="28"/>
  <c r="BM113" i="28"/>
  <c r="BN113" i="28"/>
  <c r="BO113" i="28"/>
  <c r="BP113" i="28"/>
  <c r="BQ113" i="28"/>
  <c r="BR113" i="28"/>
  <c r="BS113" i="28"/>
  <c r="BT113" i="28"/>
  <c r="BU113" i="28"/>
  <c r="BV113" i="28"/>
  <c r="BW113" i="28"/>
  <c r="BX113" i="28"/>
  <c r="BY113" i="28"/>
  <c r="BZ113" i="28"/>
  <c r="CA113" i="28"/>
  <c r="CB113" i="28"/>
  <c r="CC113" i="28"/>
  <c r="CD113" i="28"/>
  <c r="CE113" i="28"/>
  <c r="CF113" i="28"/>
  <c r="CG113" i="28"/>
  <c r="CH113" i="28"/>
  <c r="CI113" i="28"/>
  <c r="CJ113" i="28"/>
  <c r="CK113" i="28"/>
  <c r="CL113" i="28"/>
  <c r="CM113" i="28"/>
  <c r="CN113" i="28"/>
  <c r="CO113" i="28"/>
  <c r="CP113" i="28"/>
  <c r="CQ113" i="28"/>
  <c r="CR113" i="28"/>
  <c r="CS113" i="28"/>
  <c r="CT113" i="28"/>
  <c r="CU113" i="28"/>
  <c r="CV113" i="28"/>
  <c r="CW113" i="28"/>
  <c r="CX113" i="28"/>
  <c r="CY113" i="28"/>
  <c r="CZ113" i="28"/>
  <c r="DA113" i="28"/>
  <c r="DB113" i="28"/>
  <c r="DC113" i="28"/>
  <c r="DD113" i="28"/>
  <c r="DE113" i="28"/>
  <c r="DF113" i="28"/>
  <c r="DG113" i="28"/>
  <c r="DH113" i="28"/>
  <c r="DI113" i="28"/>
  <c r="DJ113" i="28"/>
  <c r="DK113" i="28"/>
  <c r="DL113" i="28"/>
  <c r="DM113" i="28"/>
  <c r="DN113" i="28"/>
  <c r="DO113" i="28"/>
  <c r="DP113" i="28"/>
  <c r="DQ113" i="28"/>
  <c r="DR113" i="28"/>
  <c r="DS113" i="28"/>
  <c r="DT113" i="28"/>
  <c r="DU113" i="28"/>
  <c r="DV113" i="28"/>
  <c r="DW113" i="28"/>
  <c r="DX113" i="28"/>
  <c r="DY113" i="28"/>
  <c r="DZ113" i="28"/>
  <c r="EA113" i="28"/>
  <c r="EB113" i="28"/>
  <c r="EC113" i="28"/>
  <c r="ED113" i="28"/>
  <c r="EE113" i="28"/>
  <c r="EF113" i="28"/>
  <c r="EG113" i="28"/>
  <c r="EH113" i="28"/>
  <c r="EI113" i="28"/>
  <c r="EJ113" i="28"/>
  <c r="EK113" i="28"/>
  <c r="EL113" i="28"/>
  <c r="EM113" i="28"/>
  <c r="EN113" i="28"/>
  <c r="EO113" i="28"/>
  <c r="EP113" i="28"/>
  <c r="EQ113" i="28"/>
  <c r="ER113" i="28"/>
  <c r="ES113" i="28"/>
  <c r="ET113" i="28"/>
  <c r="EU113" i="28"/>
  <c r="EV113" i="28"/>
  <c r="EW113" i="28"/>
  <c r="EX113" i="28"/>
  <c r="EY113" i="28"/>
  <c r="EZ113" i="28"/>
  <c r="FA113" i="28"/>
  <c r="FB113" i="28"/>
  <c r="FC113" i="28"/>
  <c r="FD113" i="28"/>
  <c r="FE113" i="28"/>
  <c r="FF113" i="28"/>
  <c r="FG113" i="28"/>
  <c r="FH113" i="28"/>
  <c r="FI113" i="28"/>
  <c r="FJ113" i="28"/>
  <c r="FK113" i="28"/>
  <c r="FL113" i="28"/>
  <c r="FM113" i="28"/>
  <c r="FN113" i="28"/>
  <c r="FO113" i="28"/>
  <c r="FP113" i="28"/>
  <c r="FQ113" i="28"/>
  <c r="FR113" i="28"/>
  <c r="FS113" i="28"/>
  <c r="FT113" i="28"/>
  <c r="FU113" i="28"/>
  <c r="FV113" i="28"/>
  <c r="FW113" i="28"/>
  <c r="FX113" i="28"/>
  <c r="FY113" i="28"/>
  <c r="FZ113" i="28"/>
  <c r="GA113" i="28"/>
  <c r="GB113" i="28"/>
  <c r="GC113" i="28"/>
  <c r="GD113" i="28"/>
  <c r="GE113" i="28"/>
  <c r="GF113" i="28"/>
  <c r="GG113" i="28"/>
  <c r="GH113" i="28"/>
  <c r="GI113" i="28"/>
  <c r="GJ113" i="28"/>
  <c r="GK113" i="28"/>
  <c r="GL113" i="28"/>
  <c r="GM113" i="28"/>
  <c r="GN113" i="28"/>
  <c r="GO113" i="28"/>
  <c r="GP113" i="28"/>
  <c r="GQ113" i="28"/>
  <c r="GR113" i="28"/>
  <c r="GS113" i="28"/>
  <c r="GT113" i="28"/>
  <c r="GU113" i="28"/>
  <c r="GV113" i="28"/>
  <c r="GW113" i="28"/>
  <c r="GX113" i="28"/>
  <c r="GY113" i="28"/>
  <c r="GZ113" i="28"/>
  <c r="HA113" i="28"/>
  <c r="HB113" i="28"/>
  <c r="HC113" i="28"/>
  <c r="HD113" i="28"/>
  <c r="HE113" i="28"/>
  <c r="HF113" i="28"/>
  <c r="HG113" i="28"/>
  <c r="HH113" i="28"/>
  <c r="HI113" i="28"/>
  <c r="HJ113" i="28"/>
  <c r="HK113" i="28"/>
  <c r="HL113" i="28"/>
  <c r="HM113" i="28"/>
  <c r="HN113" i="28"/>
  <c r="HO113" i="28"/>
  <c r="HP113" i="28"/>
  <c r="HQ113" i="28"/>
  <c r="HR113" i="28"/>
  <c r="HS113" i="28"/>
  <c r="HT113" i="28"/>
  <c r="HU113" i="28"/>
  <c r="HV113" i="28"/>
  <c r="HW113" i="28"/>
  <c r="HX113" i="28"/>
  <c r="HY113" i="28"/>
  <c r="HZ113" i="28"/>
  <c r="IA113" i="28"/>
  <c r="IB113" i="28"/>
  <c r="IC113" i="28"/>
  <c r="ID113" i="28"/>
  <c r="IE113" i="28"/>
  <c r="IF113" i="28"/>
  <c r="IG113" i="28"/>
  <c r="IH113" i="28"/>
  <c r="II113" i="28"/>
  <c r="IJ113" i="28"/>
  <c r="IK113" i="28"/>
  <c r="IL113" i="28"/>
  <c r="IM113" i="28"/>
  <c r="IN113" i="28"/>
  <c r="IO113" i="28"/>
  <c r="IP113" i="28"/>
  <c r="IQ113" i="28"/>
  <c r="IR113" i="28"/>
  <c r="IS113" i="28"/>
  <c r="IT113" i="28"/>
  <c r="IU113" i="28"/>
  <c r="IV113" i="28"/>
  <c r="A112" i="28"/>
  <c r="B112" i="28"/>
  <c r="C112" i="28"/>
  <c r="D112" i="28"/>
  <c r="E112" i="28"/>
  <c r="F112" i="28"/>
  <c r="G112" i="28"/>
  <c r="H112" i="28"/>
  <c r="I112" i="28"/>
  <c r="J112" i="28"/>
  <c r="K112" i="28"/>
  <c r="L112" i="28"/>
  <c r="M112" i="28"/>
  <c r="N112" i="28"/>
  <c r="O112" i="28"/>
  <c r="P112" i="28"/>
  <c r="Q112" i="28"/>
  <c r="R112" i="28"/>
  <c r="S112" i="28"/>
  <c r="T112" i="28"/>
  <c r="U112" i="28"/>
  <c r="V112" i="28"/>
  <c r="W112" i="28"/>
  <c r="X112" i="28"/>
  <c r="Y112" i="28"/>
  <c r="Z112" i="28"/>
  <c r="AA112" i="28"/>
  <c r="AB112" i="28"/>
  <c r="AC112" i="28"/>
  <c r="AD112" i="28"/>
  <c r="AE112" i="28"/>
  <c r="AF112" i="28"/>
  <c r="AG112" i="28"/>
  <c r="AH112" i="28"/>
  <c r="AI112" i="28"/>
  <c r="AJ112" i="28"/>
  <c r="AK112" i="28"/>
  <c r="AL112" i="28"/>
  <c r="AM112" i="28"/>
  <c r="AN112" i="28"/>
  <c r="AO112" i="28"/>
  <c r="AP112" i="28"/>
  <c r="AQ112" i="28"/>
  <c r="AR112" i="28"/>
  <c r="AS112" i="28"/>
  <c r="AT112" i="28"/>
  <c r="AU112" i="28"/>
  <c r="AV112" i="28"/>
  <c r="AW112" i="28"/>
  <c r="AX112" i="28"/>
  <c r="AY112" i="28"/>
  <c r="AZ112" i="28"/>
  <c r="BA112" i="28"/>
  <c r="BB112" i="28"/>
  <c r="BC112" i="28"/>
  <c r="BD112" i="28"/>
  <c r="BE112" i="28"/>
  <c r="BF112" i="28"/>
  <c r="BG112" i="28"/>
  <c r="BH112" i="28"/>
  <c r="BI112" i="28"/>
  <c r="BJ112" i="28"/>
  <c r="BK112" i="28"/>
  <c r="BL112" i="28"/>
  <c r="BM112" i="28"/>
  <c r="BN112" i="28"/>
  <c r="BO112" i="28"/>
  <c r="BP112" i="28"/>
  <c r="BQ112" i="28"/>
  <c r="BR112" i="28"/>
  <c r="BS112" i="28"/>
  <c r="BT112" i="28"/>
  <c r="BU112" i="28"/>
  <c r="BV112" i="28"/>
  <c r="BW112" i="28"/>
  <c r="BX112" i="28"/>
  <c r="BY112" i="28"/>
  <c r="BZ112" i="28"/>
  <c r="CA112" i="28"/>
  <c r="CB112" i="28"/>
  <c r="CC112" i="28"/>
  <c r="CD112" i="28"/>
  <c r="CE112" i="28"/>
  <c r="CF112" i="28"/>
  <c r="CG112" i="28"/>
  <c r="CH112" i="28"/>
  <c r="CI112" i="28"/>
  <c r="CJ112" i="28"/>
  <c r="CK112" i="28"/>
  <c r="CL112" i="28"/>
  <c r="CM112" i="28"/>
  <c r="CN112" i="28"/>
  <c r="CO112" i="28"/>
  <c r="CP112" i="28"/>
  <c r="CQ112" i="28"/>
  <c r="CR112" i="28"/>
  <c r="CS112" i="28"/>
  <c r="CT112" i="28"/>
  <c r="CU112" i="28"/>
  <c r="CV112" i="28"/>
  <c r="CW112" i="28"/>
  <c r="CX112" i="28"/>
  <c r="CY112" i="28"/>
  <c r="CZ112" i="28"/>
  <c r="DA112" i="28"/>
  <c r="DB112" i="28"/>
  <c r="DC112" i="28"/>
  <c r="DD112" i="28"/>
  <c r="DE112" i="28"/>
  <c r="DF112" i="28"/>
  <c r="DG112" i="28"/>
  <c r="DH112" i="28"/>
  <c r="DI112" i="28"/>
  <c r="DJ112" i="28"/>
  <c r="DK112" i="28"/>
  <c r="DL112" i="28"/>
  <c r="DM112" i="28"/>
  <c r="DN112" i="28"/>
  <c r="DO112" i="28"/>
  <c r="DP112" i="28"/>
  <c r="DQ112" i="28"/>
  <c r="DR112" i="28"/>
  <c r="DS112" i="28"/>
  <c r="DT112" i="28"/>
  <c r="DU112" i="28"/>
  <c r="DV112" i="28"/>
  <c r="DW112" i="28"/>
  <c r="DX112" i="28"/>
  <c r="DY112" i="28"/>
  <c r="DZ112" i="28"/>
  <c r="EA112" i="28"/>
  <c r="EB112" i="28"/>
  <c r="EC112" i="28"/>
  <c r="ED112" i="28"/>
  <c r="EE112" i="28"/>
  <c r="EF112" i="28"/>
  <c r="EG112" i="28"/>
  <c r="EH112" i="28"/>
  <c r="EI112" i="28"/>
  <c r="EJ112" i="28"/>
  <c r="EK112" i="28"/>
  <c r="EL112" i="28"/>
  <c r="EM112" i="28"/>
  <c r="EN112" i="28"/>
  <c r="EO112" i="28"/>
  <c r="EP112" i="28"/>
  <c r="EQ112" i="28"/>
  <c r="ER112" i="28"/>
  <c r="ES112" i="28"/>
  <c r="ET112" i="28"/>
  <c r="EU112" i="28"/>
  <c r="EV112" i="28"/>
  <c r="EW112" i="28"/>
  <c r="EX112" i="28"/>
  <c r="EY112" i="28"/>
  <c r="EZ112" i="28"/>
  <c r="FA112" i="28"/>
  <c r="FB112" i="28"/>
  <c r="FC112" i="28"/>
  <c r="FD112" i="28"/>
  <c r="FE112" i="28"/>
  <c r="FF112" i="28"/>
  <c r="FG112" i="28"/>
  <c r="FH112" i="28"/>
  <c r="FI112" i="28"/>
  <c r="FJ112" i="28"/>
  <c r="FK112" i="28"/>
  <c r="FL112" i="28"/>
  <c r="FM112" i="28"/>
  <c r="FN112" i="28"/>
  <c r="FO112" i="28"/>
  <c r="FP112" i="28"/>
  <c r="FQ112" i="28"/>
  <c r="FR112" i="28"/>
  <c r="FS112" i="28"/>
  <c r="FT112" i="28"/>
  <c r="FU112" i="28"/>
  <c r="FV112" i="28"/>
  <c r="FW112" i="28"/>
  <c r="FX112" i="28"/>
  <c r="FY112" i="28"/>
  <c r="FZ112" i="28"/>
  <c r="GA112" i="28"/>
  <c r="GB112" i="28"/>
  <c r="GC112" i="28"/>
  <c r="GD112" i="28"/>
  <c r="GE112" i="28"/>
  <c r="GF112" i="28"/>
  <c r="GG112" i="28"/>
  <c r="GH112" i="28"/>
  <c r="GI112" i="28"/>
  <c r="GJ112" i="28"/>
  <c r="GK112" i="28"/>
  <c r="GL112" i="28"/>
  <c r="GM112" i="28"/>
  <c r="GN112" i="28"/>
  <c r="GO112" i="28"/>
  <c r="GP112" i="28"/>
  <c r="GQ112" i="28"/>
  <c r="GR112" i="28"/>
  <c r="GS112" i="28"/>
  <c r="GT112" i="28"/>
  <c r="GU112" i="28"/>
  <c r="GV112" i="28"/>
  <c r="GW112" i="28"/>
  <c r="GX112" i="28"/>
  <c r="GY112" i="28"/>
  <c r="GZ112" i="28"/>
  <c r="HA112" i="28"/>
  <c r="HB112" i="28"/>
  <c r="HC112" i="28"/>
  <c r="HD112" i="28"/>
  <c r="HE112" i="28"/>
  <c r="HF112" i="28"/>
  <c r="HG112" i="28"/>
  <c r="HH112" i="28"/>
  <c r="HI112" i="28"/>
  <c r="HJ112" i="28"/>
  <c r="HK112" i="28"/>
  <c r="HL112" i="28"/>
  <c r="HM112" i="28"/>
  <c r="HN112" i="28"/>
  <c r="HO112" i="28"/>
  <c r="HP112" i="28"/>
  <c r="HQ112" i="28"/>
  <c r="HR112" i="28"/>
  <c r="HS112" i="28"/>
  <c r="HT112" i="28"/>
  <c r="HU112" i="28"/>
  <c r="HV112" i="28"/>
  <c r="HW112" i="28"/>
  <c r="HX112" i="28"/>
  <c r="HY112" i="28"/>
  <c r="HZ112" i="28"/>
  <c r="IA112" i="28"/>
  <c r="IB112" i="28"/>
  <c r="IC112" i="28"/>
  <c r="ID112" i="28"/>
  <c r="IE112" i="28"/>
  <c r="IF112" i="28"/>
  <c r="IG112" i="28"/>
  <c r="IH112" i="28"/>
  <c r="II112" i="28"/>
  <c r="IJ112" i="28"/>
  <c r="IK112" i="28"/>
  <c r="IL112" i="28"/>
  <c r="IM112" i="28"/>
  <c r="IN112" i="28"/>
  <c r="IO112" i="28"/>
  <c r="IP112" i="28"/>
  <c r="IQ112" i="28"/>
  <c r="IR112" i="28"/>
  <c r="IS112" i="28"/>
  <c r="IT112" i="28"/>
  <c r="IU112" i="28"/>
  <c r="IV112" i="28"/>
  <c r="A111" i="28"/>
  <c r="B111" i="28"/>
  <c r="C111" i="28"/>
  <c r="E111" i="28"/>
  <c r="F111" i="28"/>
  <c r="G111" i="28"/>
  <c r="H111" i="28"/>
  <c r="I111" i="28"/>
  <c r="J111" i="28"/>
  <c r="K111" i="28"/>
  <c r="L111" i="28"/>
  <c r="M111" i="28"/>
  <c r="N111" i="28"/>
  <c r="O111" i="28"/>
  <c r="P111" i="28"/>
  <c r="Q111" i="28"/>
  <c r="R111" i="28"/>
  <c r="S111" i="28"/>
  <c r="T111" i="28"/>
  <c r="U111" i="28"/>
  <c r="V111" i="28"/>
  <c r="W111" i="28"/>
  <c r="X111" i="28"/>
  <c r="Y111" i="28"/>
  <c r="Z111" i="28"/>
  <c r="AA111" i="28"/>
  <c r="AB111" i="28"/>
  <c r="AC111" i="28"/>
  <c r="AD111" i="28"/>
  <c r="AE111" i="28"/>
  <c r="AF111" i="28"/>
  <c r="AG111" i="28"/>
  <c r="AH111" i="28"/>
  <c r="AI111" i="28"/>
  <c r="AJ111" i="28"/>
  <c r="AK111" i="28"/>
  <c r="AL111" i="28"/>
  <c r="AM111" i="28"/>
  <c r="AN111" i="28"/>
  <c r="AO111" i="28"/>
  <c r="AP111" i="28"/>
  <c r="AQ111" i="28"/>
  <c r="AR111" i="28"/>
  <c r="AS111" i="28"/>
  <c r="AT111" i="28"/>
  <c r="AU111" i="28"/>
  <c r="AV111" i="28"/>
  <c r="AW111" i="28"/>
  <c r="AX111" i="28"/>
  <c r="AY111" i="28"/>
  <c r="AZ111" i="28"/>
  <c r="BA111" i="28"/>
  <c r="BB111" i="28"/>
  <c r="BC111" i="28"/>
  <c r="BD111" i="28"/>
  <c r="BE111" i="28"/>
  <c r="BF111" i="28"/>
  <c r="BG111" i="28"/>
  <c r="BH111" i="28"/>
  <c r="BI111" i="28"/>
  <c r="BJ111" i="28"/>
  <c r="BK111" i="28"/>
  <c r="BL111" i="28"/>
  <c r="BM111" i="28"/>
  <c r="BN111" i="28"/>
  <c r="BO111" i="28"/>
  <c r="BP111" i="28"/>
  <c r="BQ111" i="28"/>
  <c r="BR111" i="28"/>
  <c r="BS111" i="28"/>
  <c r="BT111" i="28"/>
  <c r="BU111" i="28"/>
  <c r="BV111" i="28"/>
  <c r="BW111" i="28"/>
  <c r="BX111" i="28"/>
  <c r="BY111" i="28"/>
  <c r="BZ111" i="28"/>
  <c r="CA111" i="28"/>
  <c r="CB111" i="28"/>
  <c r="CC111" i="28"/>
  <c r="CD111" i="28"/>
  <c r="CE111" i="28"/>
  <c r="CF111" i="28"/>
  <c r="CG111" i="28"/>
  <c r="CH111" i="28"/>
  <c r="CI111" i="28"/>
  <c r="CJ111" i="28"/>
  <c r="CK111" i="28"/>
  <c r="CL111" i="28"/>
  <c r="CM111" i="28"/>
  <c r="CN111" i="28"/>
  <c r="CO111" i="28"/>
  <c r="CP111" i="28"/>
  <c r="CQ111" i="28"/>
  <c r="CR111" i="28"/>
  <c r="CS111" i="28"/>
  <c r="CT111" i="28"/>
  <c r="CU111" i="28"/>
  <c r="CV111" i="28"/>
  <c r="CW111" i="28"/>
  <c r="CX111" i="28"/>
  <c r="CY111" i="28"/>
  <c r="CZ111" i="28"/>
  <c r="DA111" i="28"/>
  <c r="DB111" i="28"/>
  <c r="DC111" i="28"/>
  <c r="DD111" i="28"/>
  <c r="DE111" i="28"/>
  <c r="DF111" i="28"/>
  <c r="DG111" i="28"/>
  <c r="DH111" i="28"/>
  <c r="DI111" i="28"/>
  <c r="DJ111" i="28"/>
  <c r="DK111" i="28"/>
  <c r="DL111" i="28"/>
  <c r="DM111" i="28"/>
  <c r="DN111" i="28"/>
  <c r="DO111" i="28"/>
  <c r="DP111" i="28"/>
  <c r="DQ111" i="28"/>
  <c r="DR111" i="28"/>
  <c r="DS111" i="28"/>
  <c r="DT111" i="28"/>
  <c r="DU111" i="28"/>
  <c r="DV111" i="28"/>
  <c r="DW111" i="28"/>
  <c r="DX111" i="28"/>
  <c r="DY111" i="28"/>
  <c r="DZ111" i="28"/>
  <c r="EA111" i="28"/>
  <c r="EB111" i="28"/>
  <c r="EC111" i="28"/>
  <c r="ED111" i="28"/>
  <c r="EE111" i="28"/>
  <c r="EF111" i="28"/>
  <c r="EG111" i="28"/>
  <c r="EH111" i="28"/>
  <c r="EI111" i="28"/>
  <c r="EJ111" i="28"/>
  <c r="EK111" i="28"/>
  <c r="EL111" i="28"/>
  <c r="EM111" i="28"/>
  <c r="EN111" i="28"/>
  <c r="EO111" i="28"/>
  <c r="EP111" i="28"/>
  <c r="EQ111" i="28"/>
  <c r="ER111" i="28"/>
  <c r="ES111" i="28"/>
  <c r="ET111" i="28"/>
  <c r="EU111" i="28"/>
  <c r="EV111" i="28"/>
  <c r="EW111" i="28"/>
  <c r="EX111" i="28"/>
  <c r="EY111" i="28"/>
  <c r="EZ111" i="28"/>
  <c r="FA111" i="28"/>
  <c r="FB111" i="28"/>
  <c r="FC111" i="28"/>
  <c r="FD111" i="28"/>
  <c r="FE111" i="28"/>
  <c r="FF111" i="28"/>
  <c r="FG111" i="28"/>
  <c r="FH111" i="28"/>
  <c r="FI111" i="28"/>
  <c r="FJ111" i="28"/>
  <c r="FK111" i="28"/>
  <c r="FL111" i="28"/>
  <c r="FM111" i="28"/>
  <c r="FN111" i="28"/>
  <c r="FO111" i="28"/>
  <c r="FP111" i="28"/>
  <c r="FQ111" i="28"/>
  <c r="FR111" i="28"/>
  <c r="FS111" i="28"/>
  <c r="FT111" i="28"/>
  <c r="FU111" i="28"/>
  <c r="FV111" i="28"/>
  <c r="FW111" i="28"/>
  <c r="FX111" i="28"/>
  <c r="FY111" i="28"/>
  <c r="FZ111" i="28"/>
  <c r="GA111" i="28"/>
  <c r="GB111" i="28"/>
  <c r="GC111" i="28"/>
  <c r="GD111" i="28"/>
  <c r="GE111" i="28"/>
  <c r="GF111" i="28"/>
  <c r="GG111" i="28"/>
  <c r="GH111" i="28"/>
  <c r="GI111" i="28"/>
  <c r="GJ111" i="28"/>
  <c r="GK111" i="28"/>
  <c r="GL111" i="28"/>
  <c r="GM111" i="28"/>
  <c r="GN111" i="28"/>
  <c r="GO111" i="28"/>
  <c r="GP111" i="28"/>
  <c r="GQ111" i="28"/>
  <c r="GR111" i="28"/>
  <c r="GS111" i="28"/>
  <c r="GT111" i="28"/>
  <c r="GU111" i="28"/>
  <c r="GV111" i="28"/>
  <c r="GW111" i="28"/>
  <c r="GX111" i="28"/>
  <c r="GY111" i="28"/>
  <c r="GZ111" i="28"/>
  <c r="HA111" i="28"/>
  <c r="HB111" i="28"/>
  <c r="HC111" i="28"/>
  <c r="HD111" i="28"/>
  <c r="HE111" i="28"/>
  <c r="HF111" i="28"/>
  <c r="HG111" i="28"/>
  <c r="HH111" i="28"/>
  <c r="HI111" i="28"/>
  <c r="HJ111" i="28"/>
  <c r="HK111" i="28"/>
  <c r="HL111" i="28"/>
  <c r="HM111" i="28"/>
  <c r="HN111" i="28"/>
  <c r="HO111" i="28"/>
  <c r="HP111" i="28"/>
  <c r="HQ111" i="28"/>
  <c r="HR111" i="28"/>
  <c r="HS111" i="28"/>
  <c r="HT111" i="28"/>
  <c r="HU111" i="28"/>
  <c r="HV111" i="28"/>
  <c r="HW111" i="28"/>
  <c r="HX111" i="28"/>
  <c r="HY111" i="28"/>
  <c r="HZ111" i="28"/>
  <c r="IA111" i="28"/>
  <c r="IB111" i="28"/>
  <c r="IC111" i="28"/>
  <c r="ID111" i="28"/>
  <c r="IE111" i="28"/>
  <c r="IF111" i="28"/>
  <c r="IG111" i="28"/>
  <c r="IH111" i="28"/>
  <c r="II111" i="28"/>
  <c r="IJ111" i="28"/>
  <c r="IK111" i="28"/>
  <c r="IL111" i="28"/>
  <c r="IM111" i="28"/>
  <c r="IN111" i="28"/>
  <c r="IO111" i="28"/>
  <c r="IP111" i="28"/>
  <c r="IQ111" i="28"/>
  <c r="IR111" i="28"/>
  <c r="IS111" i="28"/>
  <c r="IT111" i="28"/>
  <c r="IU111" i="28"/>
  <c r="IV111" i="28"/>
  <c r="A110" i="28"/>
  <c r="B110" i="28"/>
  <c r="C110" i="28"/>
  <c r="D110" i="28"/>
  <c r="E110" i="28"/>
  <c r="F110" i="28"/>
  <c r="G110" i="28"/>
  <c r="H110" i="28"/>
  <c r="I110" i="28"/>
  <c r="J110" i="28"/>
  <c r="K110" i="28"/>
  <c r="L110" i="28"/>
  <c r="M110" i="28"/>
  <c r="N110" i="28"/>
  <c r="O110" i="28"/>
  <c r="P110" i="28"/>
  <c r="Q110" i="28"/>
  <c r="R110" i="28"/>
  <c r="S110" i="28"/>
  <c r="T110" i="28"/>
  <c r="U110" i="28"/>
  <c r="V110" i="28"/>
  <c r="W110" i="28"/>
  <c r="X110" i="28"/>
  <c r="Y110" i="28"/>
  <c r="Z110" i="28"/>
  <c r="AA110" i="28"/>
  <c r="AB110" i="28"/>
  <c r="AC110" i="28"/>
  <c r="AD110" i="28"/>
  <c r="AE110" i="28"/>
  <c r="AF110" i="28"/>
  <c r="AG110" i="28"/>
  <c r="AH110" i="28"/>
  <c r="AI110" i="28"/>
  <c r="AJ110" i="28"/>
  <c r="AK110" i="28"/>
  <c r="AL110" i="28"/>
  <c r="AM110" i="28"/>
  <c r="AN110" i="28"/>
  <c r="AO110" i="28"/>
  <c r="AP110" i="28"/>
  <c r="AQ110" i="28"/>
  <c r="AR110" i="28"/>
  <c r="AS110" i="28"/>
  <c r="AT110" i="28"/>
  <c r="AU110" i="28"/>
  <c r="AV110" i="28"/>
  <c r="AW110" i="28"/>
  <c r="AX110" i="28"/>
  <c r="AY110" i="28"/>
  <c r="AZ110" i="28"/>
  <c r="BA110" i="28"/>
  <c r="BB110" i="28"/>
  <c r="BC110" i="28"/>
  <c r="BD110" i="28"/>
  <c r="BE110" i="28"/>
  <c r="BF110" i="28"/>
  <c r="BG110" i="28"/>
  <c r="BH110" i="28"/>
  <c r="BI110" i="28"/>
  <c r="BJ110" i="28"/>
  <c r="BK110" i="28"/>
  <c r="BL110" i="28"/>
  <c r="BM110" i="28"/>
  <c r="BN110" i="28"/>
  <c r="BO110" i="28"/>
  <c r="BP110" i="28"/>
  <c r="BQ110" i="28"/>
  <c r="BR110" i="28"/>
  <c r="BS110" i="28"/>
  <c r="BT110" i="28"/>
  <c r="BU110" i="28"/>
  <c r="BV110" i="28"/>
  <c r="BW110" i="28"/>
  <c r="BX110" i="28"/>
  <c r="BY110" i="28"/>
  <c r="BZ110" i="28"/>
  <c r="CA110" i="28"/>
  <c r="CB110" i="28"/>
  <c r="CC110" i="28"/>
  <c r="CD110" i="28"/>
  <c r="CE110" i="28"/>
  <c r="CF110" i="28"/>
  <c r="CG110" i="28"/>
  <c r="CH110" i="28"/>
  <c r="CI110" i="28"/>
  <c r="CJ110" i="28"/>
  <c r="CK110" i="28"/>
  <c r="CL110" i="28"/>
  <c r="CM110" i="28"/>
  <c r="CN110" i="28"/>
  <c r="CO110" i="28"/>
  <c r="CP110" i="28"/>
  <c r="CQ110" i="28"/>
  <c r="CR110" i="28"/>
  <c r="CS110" i="28"/>
  <c r="CT110" i="28"/>
  <c r="CU110" i="28"/>
  <c r="CV110" i="28"/>
  <c r="CW110" i="28"/>
  <c r="CX110" i="28"/>
  <c r="CY110" i="28"/>
  <c r="CZ110" i="28"/>
  <c r="DA110" i="28"/>
  <c r="DB110" i="28"/>
  <c r="DC110" i="28"/>
  <c r="DD110" i="28"/>
  <c r="DE110" i="28"/>
  <c r="DF110" i="28"/>
  <c r="DG110" i="28"/>
  <c r="DH110" i="28"/>
  <c r="DI110" i="28"/>
  <c r="DJ110" i="28"/>
  <c r="DK110" i="28"/>
  <c r="DL110" i="28"/>
  <c r="DM110" i="28"/>
  <c r="DN110" i="28"/>
  <c r="DO110" i="28"/>
  <c r="DP110" i="28"/>
  <c r="DQ110" i="28"/>
  <c r="DR110" i="28"/>
  <c r="DS110" i="28"/>
  <c r="DT110" i="28"/>
  <c r="DU110" i="28"/>
  <c r="DV110" i="28"/>
  <c r="DW110" i="28"/>
  <c r="DX110" i="28"/>
  <c r="DY110" i="28"/>
  <c r="DZ110" i="28"/>
  <c r="EA110" i="28"/>
  <c r="EB110" i="28"/>
  <c r="EC110" i="28"/>
  <c r="ED110" i="28"/>
  <c r="EE110" i="28"/>
  <c r="EF110" i="28"/>
  <c r="EG110" i="28"/>
  <c r="EH110" i="28"/>
  <c r="EI110" i="28"/>
  <c r="EJ110" i="28"/>
  <c r="EK110" i="28"/>
  <c r="EL110" i="28"/>
  <c r="EM110" i="28"/>
  <c r="EN110" i="28"/>
  <c r="EO110" i="28"/>
  <c r="EP110" i="28"/>
  <c r="EQ110" i="28"/>
  <c r="ER110" i="28"/>
  <c r="ES110" i="28"/>
  <c r="ET110" i="28"/>
  <c r="EU110" i="28"/>
  <c r="EV110" i="28"/>
  <c r="EW110" i="28"/>
  <c r="EX110" i="28"/>
  <c r="EY110" i="28"/>
  <c r="EZ110" i="28"/>
  <c r="FA110" i="28"/>
  <c r="FB110" i="28"/>
  <c r="FC110" i="28"/>
  <c r="FD110" i="28"/>
  <c r="FE110" i="28"/>
  <c r="FF110" i="28"/>
  <c r="FG110" i="28"/>
  <c r="FH110" i="28"/>
  <c r="FI110" i="28"/>
  <c r="FJ110" i="28"/>
  <c r="FK110" i="28"/>
  <c r="FL110" i="28"/>
  <c r="FM110" i="28"/>
  <c r="FN110" i="28"/>
  <c r="FO110" i="28"/>
  <c r="FP110" i="28"/>
  <c r="FQ110" i="28"/>
  <c r="FR110" i="28"/>
  <c r="FS110" i="28"/>
  <c r="FT110" i="28"/>
  <c r="FU110" i="28"/>
  <c r="FV110" i="28"/>
  <c r="FW110" i="28"/>
  <c r="FX110" i="28"/>
  <c r="FY110" i="28"/>
  <c r="FZ110" i="28"/>
  <c r="GA110" i="28"/>
  <c r="GB110" i="28"/>
  <c r="GC110" i="28"/>
  <c r="GD110" i="28"/>
  <c r="GE110" i="28"/>
  <c r="GF110" i="28"/>
  <c r="GG110" i="28"/>
  <c r="GH110" i="28"/>
  <c r="GI110" i="28"/>
  <c r="GJ110" i="28"/>
  <c r="GK110" i="28"/>
  <c r="GL110" i="28"/>
  <c r="GM110" i="28"/>
  <c r="GN110" i="28"/>
  <c r="GO110" i="28"/>
  <c r="GP110" i="28"/>
  <c r="GQ110" i="28"/>
  <c r="GR110" i="28"/>
  <c r="GS110" i="28"/>
  <c r="GT110" i="28"/>
  <c r="GU110" i="28"/>
  <c r="GV110" i="28"/>
  <c r="GW110" i="28"/>
  <c r="GX110" i="28"/>
  <c r="GY110" i="28"/>
  <c r="GZ110" i="28"/>
  <c r="HA110" i="28"/>
  <c r="HB110" i="28"/>
  <c r="HC110" i="28"/>
  <c r="HD110" i="28"/>
  <c r="HE110" i="28"/>
  <c r="HF110" i="28"/>
  <c r="HG110" i="28"/>
  <c r="HH110" i="28"/>
  <c r="HI110" i="28"/>
  <c r="HJ110" i="28"/>
  <c r="HK110" i="28"/>
  <c r="HL110" i="28"/>
  <c r="HM110" i="28"/>
  <c r="HN110" i="28"/>
  <c r="HO110" i="28"/>
  <c r="HP110" i="28"/>
  <c r="HQ110" i="28"/>
  <c r="HR110" i="28"/>
  <c r="HS110" i="28"/>
  <c r="HT110" i="28"/>
  <c r="HU110" i="28"/>
  <c r="HV110" i="28"/>
  <c r="HW110" i="28"/>
  <c r="HX110" i="28"/>
  <c r="HY110" i="28"/>
  <c r="HZ110" i="28"/>
  <c r="IA110" i="28"/>
  <c r="IB110" i="28"/>
  <c r="IC110" i="28"/>
  <c r="ID110" i="28"/>
  <c r="IE110" i="28"/>
  <c r="IF110" i="28"/>
  <c r="IG110" i="28"/>
  <c r="IH110" i="28"/>
  <c r="II110" i="28"/>
  <c r="IJ110" i="28"/>
  <c r="IK110" i="28"/>
  <c r="IL110" i="28"/>
  <c r="IM110" i="28"/>
  <c r="IN110" i="28"/>
  <c r="IO110" i="28"/>
  <c r="IP110" i="28"/>
  <c r="IQ110" i="28"/>
  <c r="IR110" i="28"/>
  <c r="IS110" i="28"/>
  <c r="IT110" i="28"/>
  <c r="IU110" i="28"/>
  <c r="IV110" i="28"/>
  <c r="A109" i="28"/>
  <c r="B109" i="28"/>
  <c r="C109" i="28"/>
  <c r="D109" i="28"/>
  <c r="F109" i="28"/>
  <c r="G109" i="28"/>
  <c r="H109" i="28"/>
  <c r="I109" i="28"/>
  <c r="J109" i="28"/>
  <c r="K109" i="28"/>
  <c r="L109" i="28"/>
  <c r="M109" i="28"/>
  <c r="N109" i="28"/>
  <c r="O109" i="28"/>
  <c r="P109" i="28"/>
  <c r="Q109" i="28"/>
  <c r="R109" i="28"/>
  <c r="S109" i="28"/>
  <c r="T109" i="28"/>
  <c r="U109" i="28"/>
  <c r="V109" i="28"/>
  <c r="W109" i="28"/>
  <c r="X109" i="28"/>
  <c r="Y109" i="28"/>
  <c r="Z109" i="28"/>
  <c r="AA109" i="28"/>
  <c r="AB109" i="28"/>
  <c r="AC109" i="28"/>
  <c r="AD109" i="28"/>
  <c r="AE109" i="28"/>
  <c r="AF109" i="28"/>
  <c r="AG109" i="28"/>
  <c r="AH109" i="28"/>
  <c r="AI109" i="28"/>
  <c r="AJ109" i="28"/>
  <c r="AK109" i="28"/>
  <c r="AL109" i="28"/>
  <c r="AM109" i="28"/>
  <c r="AN109" i="28"/>
  <c r="AO109" i="28"/>
  <c r="AP109" i="28"/>
  <c r="AQ109" i="28"/>
  <c r="AR109" i="28"/>
  <c r="AS109" i="28"/>
  <c r="AT109" i="28"/>
  <c r="AU109" i="28"/>
  <c r="AV109" i="28"/>
  <c r="AW109" i="28"/>
  <c r="AX109" i="28"/>
  <c r="AY109" i="28"/>
  <c r="AZ109" i="28"/>
  <c r="BA109" i="28"/>
  <c r="BB109" i="28"/>
  <c r="BC109" i="28"/>
  <c r="BD109" i="28"/>
  <c r="BE109" i="28"/>
  <c r="BF109" i="28"/>
  <c r="BG109" i="28"/>
  <c r="BH109" i="28"/>
  <c r="BI109" i="28"/>
  <c r="BJ109" i="28"/>
  <c r="BK109" i="28"/>
  <c r="BL109" i="28"/>
  <c r="BM109" i="28"/>
  <c r="BN109" i="28"/>
  <c r="BO109" i="28"/>
  <c r="BP109" i="28"/>
  <c r="BQ109" i="28"/>
  <c r="BR109" i="28"/>
  <c r="BS109" i="28"/>
  <c r="BT109" i="28"/>
  <c r="BU109" i="28"/>
  <c r="BV109" i="28"/>
  <c r="BW109" i="28"/>
  <c r="BX109" i="28"/>
  <c r="BY109" i="28"/>
  <c r="BZ109" i="28"/>
  <c r="CA109" i="28"/>
  <c r="CB109" i="28"/>
  <c r="CC109" i="28"/>
  <c r="CD109" i="28"/>
  <c r="CE109" i="28"/>
  <c r="CF109" i="28"/>
  <c r="CG109" i="28"/>
  <c r="CH109" i="28"/>
  <c r="CI109" i="28"/>
  <c r="CJ109" i="28"/>
  <c r="CK109" i="28"/>
  <c r="CL109" i="28"/>
  <c r="CM109" i="28"/>
  <c r="CN109" i="28"/>
  <c r="CO109" i="28"/>
  <c r="CP109" i="28"/>
  <c r="CQ109" i="28"/>
  <c r="CR109" i="28"/>
  <c r="CS109" i="28"/>
  <c r="CT109" i="28"/>
  <c r="CU109" i="28"/>
  <c r="CV109" i="28"/>
  <c r="CW109" i="28"/>
  <c r="CX109" i="28"/>
  <c r="CY109" i="28"/>
  <c r="CZ109" i="28"/>
  <c r="DA109" i="28"/>
  <c r="DB109" i="28"/>
  <c r="DC109" i="28"/>
  <c r="DD109" i="28"/>
  <c r="DE109" i="28"/>
  <c r="DF109" i="28"/>
  <c r="DG109" i="28"/>
  <c r="DH109" i="28"/>
  <c r="DI109" i="28"/>
  <c r="DJ109" i="28"/>
  <c r="DK109" i="28"/>
  <c r="DL109" i="28"/>
  <c r="DM109" i="28"/>
  <c r="DN109" i="28"/>
  <c r="DO109" i="28"/>
  <c r="DP109" i="28"/>
  <c r="DQ109" i="28"/>
  <c r="DR109" i="28"/>
  <c r="DS109" i="28"/>
  <c r="DT109" i="28"/>
  <c r="DU109" i="28"/>
  <c r="DV109" i="28"/>
  <c r="DW109" i="28"/>
  <c r="DX109" i="28"/>
  <c r="DY109" i="28"/>
  <c r="DZ109" i="28"/>
  <c r="EA109" i="28"/>
  <c r="EB109" i="28"/>
  <c r="EC109" i="28"/>
  <c r="ED109" i="28"/>
  <c r="EE109" i="28"/>
  <c r="EF109" i="28"/>
  <c r="EG109" i="28"/>
  <c r="EH109" i="28"/>
  <c r="EI109" i="28"/>
  <c r="EJ109" i="28"/>
  <c r="EK109" i="28"/>
  <c r="EL109" i="28"/>
  <c r="EM109" i="28"/>
  <c r="EN109" i="28"/>
  <c r="EO109" i="28"/>
  <c r="EP109" i="28"/>
  <c r="EQ109" i="28"/>
  <c r="ER109" i="28"/>
  <c r="ES109" i="28"/>
  <c r="ET109" i="28"/>
  <c r="EU109" i="28"/>
  <c r="EV109" i="28"/>
  <c r="EW109" i="28"/>
  <c r="EX109" i="28"/>
  <c r="EY109" i="28"/>
  <c r="EZ109" i="28"/>
  <c r="FA109" i="28"/>
  <c r="FB109" i="28"/>
  <c r="FC109" i="28"/>
  <c r="FD109" i="28"/>
  <c r="FE109" i="28"/>
  <c r="FF109" i="28"/>
  <c r="FG109" i="28"/>
  <c r="FH109" i="28"/>
  <c r="FI109" i="28"/>
  <c r="FJ109" i="28"/>
  <c r="FK109" i="28"/>
  <c r="FL109" i="28"/>
  <c r="FM109" i="28"/>
  <c r="FN109" i="28"/>
  <c r="FO109" i="28"/>
  <c r="FP109" i="28"/>
  <c r="FQ109" i="28"/>
  <c r="FR109" i="28"/>
  <c r="FS109" i="28"/>
  <c r="FT109" i="28"/>
  <c r="FU109" i="28"/>
  <c r="FV109" i="28"/>
  <c r="FW109" i="28"/>
  <c r="FX109" i="28"/>
  <c r="FY109" i="28"/>
  <c r="FZ109" i="28"/>
  <c r="GA109" i="28"/>
  <c r="GB109" i="28"/>
  <c r="GC109" i="28"/>
  <c r="GD109" i="28"/>
  <c r="GE109" i="28"/>
  <c r="GF109" i="28"/>
  <c r="GG109" i="28"/>
  <c r="GH109" i="28"/>
  <c r="GI109" i="28"/>
  <c r="GJ109" i="28"/>
  <c r="GK109" i="28"/>
  <c r="GL109" i="28"/>
  <c r="GM109" i="28"/>
  <c r="GN109" i="28"/>
  <c r="GO109" i="28"/>
  <c r="GP109" i="28"/>
  <c r="GQ109" i="28"/>
  <c r="GR109" i="28"/>
  <c r="GS109" i="28"/>
  <c r="GT109" i="28"/>
  <c r="GU109" i="28"/>
  <c r="GV109" i="28"/>
  <c r="GW109" i="28"/>
  <c r="GX109" i="28"/>
  <c r="GY109" i="28"/>
  <c r="GZ109" i="28"/>
  <c r="HA109" i="28"/>
  <c r="HB109" i="28"/>
  <c r="HC109" i="28"/>
  <c r="HD109" i="28"/>
  <c r="HE109" i="28"/>
  <c r="HF109" i="28"/>
  <c r="HG109" i="28"/>
  <c r="HH109" i="28"/>
  <c r="HI109" i="28"/>
  <c r="HJ109" i="28"/>
  <c r="HK109" i="28"/>
  <c r="HL109" i="28"/>
  <c r="HM109" i="28"/>
  <c r="HN109" i="28"/>
  <c r="HO109" i="28"/>
  <c r="HP109" i="28"/>
  <c r="HQ109" i="28"/>
  <c r="HR109" i="28"/>
  <c r="HS109" i="28"/>
  <c r="HT109" i="28"/>
  <c r="HU109" i="28"/>
  <c r="HV109" i="28"/>
  <c r="HW109" i="28"/>
  <c r="HX109" i="28"/>
  <c r="HY109" i="28"/>
  <c r="HZ109" i="28"/>
  <c r="IA109" i="28"/>
  <c r="IB109" i="28"/>
  <c r="IC109" i="28"/>
  <c r="ID109" i="28"/>
  <c r="IE109" i="28"/>
  <c r="IF109" i="28"/>
  <c r="IG109" i="28"/>
  <c r="IH109" i="28"/>
  <c r="II109" i="28"/>
  <c r="IJ109" i="28"/>
  <c r="IK109" i="28"/>
  <c r="IL109" i="28"/>
  <c r="IM109" i="28"/>
  <c r="IN109" i="28"/>
  <c r="IO109" i="28"/>
  <c r="IP109" i="28"/>
  <c r="IQ109" i="28"/>
  <c r="IR109" i="28"/>
  <c r="IS109" i="28"/>
  <c r="IT109" i="28"/>
  <c r="IU109" i="28"/>
  <c r="IV109" i="28"/>
  <c r="A108" i="28"/>
  <c r="C108" i="28"/>
  <c r="D108" i="28"/>
  <c r="E108" i="28"/>
  <c r="F108" i="28"/>
  <c r="G108" i="28"/>
  <c r="H108" i="28"/>
  <c r="I108" i="28"/>
  <c r="J108" i="28"/>
  <c r="K108" i="28"/>
  <c r="L108" i="28"/>
  <c r="M108" i="28"/>
  <c r="N108" i="28"/>
  <c r="O108" i="28"/>
  <c r="P108" i="28"/>
  <c r="Q108" i="28"/>
  <c r="R108" i="28"/>
  <c r="S108" i="28"/>
  <c r="T108" i="28"/>
  <c r="U108" i="28"/>
  <c r="V108" i="28"/>
  <c r="W108" i="28"/>
  <c r="X108" i="28"/>
  <c r="Y108" i="28"/>
  <c r="Z108" i="28"/>
  <c r="AA108" i="28"/>
  <c r="AB108" i="28"/>
  <c r="AC108" i="28"/>
  <c r="AD108" i="28"/>
  <c r="AE108" i="28"/>
  <c r="AF108" i="28"/>
  <c r="AG108" i="28"/>
  <c r="AH108" i="28"/>
  <c r="AI108" i="28"/>
  <c r="AJ108" i="28"/>
  <c r="AK108" i="28"/>
  <c r="AL108" i="28"/>
  <c r="AM108" i="28"/>
  <c r="AN108" i="28"/>
  <c r="AO108" i="28"/>
  <c r="AP108" i="28"/>
  <c r="AQ108" i="28"/>
  <c r="AR108" i="28"/>
  <c r="AS108" i="28"/>
  <c r="AT108" i="28"/>
  <c r="AU108" i="28"/>
  <c r="AV108" i="28"/>
  <c r="AW108" i="28"/>
  <c r="AX108" i="28"/>
  <c r="AY108" i="28"/>
  <c r="AZ108" i="28"/>
  <c r="BA108" i="28"/>
  <c r="BB108" i="28"/>
  <c r="BC108" i="28"/>
  <c r="BD108" i="28"/>
  <c r="BE108" i="28"/>
  <c r="BF108" i="28"/>
  <c r="BG108" i="28"/>
  <c r="BH108" i="28"/>
  <c r="BI108" i="28"/>
  <c r="BJ108" i="28"/>
  <c r="BK108" i="28"/>
  <c r="BL108" i="28"/>
  <c r="BM108" i="28"/>
  <c r="BN108" i="28"/>
  <c r="BO108" i="28"/>
  <c r="BP108" i="28"/>
  <c r="BQ108" i="28"/>
  <c r="BR108" i="28"/>
  <c r="BS108" i="28"/>
  <c r="BT108" i="28"/>
  <c r="BU108" i="28"/>
  <c r="BV108" i="28"/>
  <c r="BW108" i="28"/>
  <c r="BX108" i="28"/>
  <c r="BY108" i="28"/>
  <c r="BZ108" i="28"/>
  <c r="CA108" i="28"/>
  <c r="CB108" i="28"/>
  <c r="CC108" i="28"/>
  <c r="CD108" i="28"/>
  <c r="CE108" i="28"/>
  <c r="CF108" i="28"/>
  <c r="CG108" i="28"/>
  <c r="CH108" i="28"/>
  <c r="CI108" i="28"/>
  <c r="CJ108" i="28"/>
  <c r="CK108" i="28"/>
  <c r="CL108" i="28"/>
  <c r="CM108" i="28"/>
  <c r="CN108" i="28"/>
  <c r="CO108" i="28"/>
  <c r="CP108" i="28"/>
  <c r="CQ108" i="28"/>
  <c r="CR108" i="28"/>
  <c r="CS108" i="28"/>
  <c r="CT108" i="28"/>
  <c r="CU108" i="28"/>
  <c r="CV108" i="28"/>
  <c r="CW108" i="28"/>
  <c r="CX108" i="28"/>
  <c r="CY108" i="28"/>
  <c r="CZ108" i="28"/>
  <c r="DA108" i="28"/>
  <c r="DB108" i="28"/>
  <c r="DC108" i="28"/>
  <c r="DD108" i="28"/>
  <c r="DE108" i="28"/>
  <c r="DF108" i="28"/>
  <c r="DG108" i="28"/>
  <c r="DH108" i="28"/>
  <c r="DI108" i="28"/>
  <c r="DJ108" i="28"/>
  <c r="DK108" i="28"/>
  <c r="DL108" i="28"/>
  <c r="DM108" i="28"/>
  <c r="DN108" i="28"/>
  <c r="DO108" i="28"/>
  <c r="DP108" i="28"/>
  <c r="DQ108" i="28"/>
  <c r="DR108" i="28"/>
  <c r="DS108" i="28"/>
  <c r="DT108" i="28"/>
  <c r="DU108" i="28"/>
  <c r="DV108" i="28"/>
  <c r="DW108" i="28"/>
  <c r="DX108" i="28"/>
  <c r="DY108" i="28"/>
  <c r="DZ108" i="28"/>
  <c r="EA108" i="28"/>
  <c r="EB108" i="28"/>
  <c r="EC108" i="28"/>
  <c r="ED108" i="28"/>
  <c r="EE108" i="28"/>
  <c r="EF108" i="28"/>
  <c r="EG108" i="28"/>
  <c r="EH108" i="28"/>
  <c r="EI108" i="28"/>
  <c r="EJ108" i="28"/>
  <c r="EK108" i="28"/>
  <c r="EL108" i="28"/>
  <c r="EM108" i="28"/>
  <c r="EN108" i="28"/>
  <c r="EO108" i="28"/>
  <c r="EP108" i="28"/>
  <c r="EQ108" i="28"/>
  <c r="ER108" i="28"/>
  <c r="ES108" i="28"/>
  <c r="ET108" i="28"/>
  <c r="EU108" i="28"/>
  <c r="EV108" i="28"/>
  <c r="EW108" i="28"/>
  <c r="EX108" i="28"/>
  <c r="EY108" i="28"/>
  <c r="EZ108" i="28"/>
  <c r="FA108" i="28"/>
  <c r="FB108" i="28"/>
  <c r="FC108" i="28"/>
  <c r="FD108" i="28"/>
  <c r="FE108" i="28"/>
  <c r="FF108" i="28"/>
  <c r="FG108" i="28"/>
  <c r="FH108" i="28"/>
  <c r="FI108" i="28"/>
  <c r="FJ108" i="28"/>
  <c r="FK108" i="28"/>
  <c r="FL108" i="28"/>
  <c r="FM108" i="28"/>
  <c r="FN108" i="28"/>
  <c r="FO108" i="28"/>
  <c r="FP108" i="28"/>
  <c r="FQ108" i="28"/>
  <c r="FR108" i="28"/>
  <c r="FS108" i="28"/>
  <c r="FT108" i="28"/>
  <c r="FU108" i="28"/>
  <c r="FV108" i="28"/>
  <c r="FW108" i="28"/>
  <c r="FX108" i="28"/>
  <c r="FY108" i="28"/>
  <c r="FZ108" i="28"/>
  <c r="GA108" i="28"/>
  <c r="GB108" i="28"/>
  <c r="GC108" i="28"/>
  <c r="GD108" i="28"/>
  <c r="GE108" i="28"/>
  <c r="GF108" i="28"/>
  <c r="GG108" i="28"/>
  <c r="GH108" i="28"/>
  <c r="GI108" i="28"/>
  <c r="GJ108" i="28"/>
  <c r="GK108" i="28"/>
  <c r="GL108" i="28"/>
  <c r="GM108" i="28"/>
  <c r="GN108" i="28"/>
  <c r="GO108" i="28"/>
  <c r="GP108" i="28"/>
  <c r="GQ108" i="28"/>
  <c r="GR108" i="28"/>
  <c r="GS108" i="28"/>
  <c r="GT108" i="28"/>
  <c r="GU108" i="28"/>
  <c r="GV108" i="28"/>
  <c r="GW108" i="28"/>
  <c r="GX108" i="28"/>
  <c r="GY108" i="28"/>
  <c r="GZ108" i="28"/>
  <c r="HA108" i="28"/>
  <c r="HB108" i="28"/>
  <c r="HC108" i="28"/>
  <c r="HD108" i="28"/>
  <c r="HE108" i="28"/>
  <c r="HF108" i="28"/>
  <c r="HG108" i="28"/>
  <c r="HH108" i="28"/>
  <c r="HI108" i="28"/>
  <c r="HJ108" i="28"/>
  <c r="HK108" i="28"/>
  <c r="HL108" i="28"/>
  <c r="HM108" i="28"/>
  <c r="HN108" i="28"/>
  <c r="HO108" i="28"/>
  <c r="HP108" i="28"/>
  <c r="HQ108" i="28"/>
  <c r="HR108" i="28"/>
  <c r="HS108" i="28"/>
  <c r="HT108" i="28"/>
  <c r="HU108" i="28"/>
  <c r="HV108" i="28"/>
  <c r="HW108" i="28"/>
  <c r="HX108" i="28"/>
  <c r="HY108" i="28"/>
  <c r="HZ108" i="28"/>
  <c r="IA108" i="28"/>
  <c r="IB108" i="28"/>
  <c r="IC108" i="28"/>
  <c r="ID108" i="28"/>
  <c r="IE108" i="28"/>
  <c r="IF108" i="28"/>
  <c r="IG108" i="28"/>
  <c r="IH108" i="28"/>
  <c r="II108" i="28"/>
  <c r="IJ108" i="28"/>
  <c r="IK108" i="28"/>
  <c r="IL108" i="28"/>
  <c r="IM108" i="28"/>
  <c r="IN108" i="28"/>
  <c r="IO108" i="28"/>
  <c r="IP108" i="28"/>
  <c r="IQ108" i="28"/>
  <c r="IR108" i="28"/>
  <c r="IS108" i="28"/>
  <c r="IT108" i="28"/>
  <c r="IU108" i="28"/>
  <c r="IV108" i="28"/>
  <c r="A107" i="28"/>
  <c r="B107" i="28"/>
  <c r="C107" i="28"/>
  <c r="D107" i="28"/>
  <c r="E107" i="28"/>
  <c r="F107" i="28"/>
  <c r="G107" i="28"/>
  <c r="H107" i="28"/>
  <c r="I107" i="28"/>
  <c r="J107" i="28"/>
  <c r="K107" i="28"/>
  <c r="L107" i="28"/>
  <c r="M107" i="28"/>
  <c r="N107" i="28"/>
  <c r="O107" i="28"/>
  <c r="P107" i="28"/>
  <c r="Q107" i="28"/>
  <c r="R107" i="28"/>
  <c r="S107" i="28"/>
  <c r="T107" i="28"/>
  <c r="U107" i="28"/>
  <c r="V107" i="28"/>
  <c r="W107" i="28"/>
  <c r="X107" i="28"/>
  <c r="Y107" i="28"/>
  <c r="Z107" i="28"/>
  <c r="AA107" i="28"/>
  <c r="AB107" i="28"/>
  <c r="AC107" i="28"/>
  <c r="AD107" i="28"/>
  <c r="AE107" i="28"/>
  <c r="AF107" i="28"/>
  <c r="AG107" i="28"/>
  <c r="AH107" i="28"/>
  <c r="AI107" i="28"/>
  <c r="AJ107" i="28"/>
  <c r="AK107" i="28"/>
  <c r="AL107" i="28"/>
  <c r="AM107" i="28"/>
  <c r="AN107" i="28"/>
  <c r="AO107" i="28"/>
  <c r="AP107" i="28"/>
  <c r="AQ107" i="28"/>
  <c r="AR107" i="28"/>
  <c r="AS107" i="28"/>
  <c r="AT107" i="28"/>
  <c r="AU107" i="28"/>
  <c r="AV107" i="28"/>
  <c r="AW107" i="28"/>
  <c r="AX107" i="28"/>
  <c r="AY107" i="28"/>
  <c r="AZ107" i="28"/>
  <c r="BA107" i="28"/>
  <c r="BB107" i="28"/>
  <c r="BC107" i="28"/>
  <c r="BD107" i="28"/>
  <c r="BE107" i="28"/>
  <c r="BF107" i="28"/>
  <c r="BG107" i="28"/>
  <c r="BH107" i="28"/>
  <c r="BI107" i="28"/>
  <c r="BJ107" i="28"/>
  <c r="BK107" i="28"/>
  <c r="BL107" i="28"/>
  <c r="BM107" i="28"/>
  <c r="BN107" i="28"/>
  <c r="BO107" i="28"/>
  <c r="BP107" i="28"/>
  <c r="BQ107" i="28"/>
  <c r="BR107" i="28"/>
  <c r="BS107" i="28"/>
  <c r="BT107" i="28"/>
  <c r="BU107" i="28"/>
  <c r="BV107" i="28"/>
  <c r="BW107" i="28"/>
  <c r="BX107" i="28"/>
  <c r="BY107" i="28"/>
  <c r="CE107" i="28"/>
  <c r="CF107" i="28"/>
  <c r="CG107" i="28"/>
  <c r="CH107" i="28"/>
  <c r="CI107" i="28"/>
  <c r="CJ107" i="28"/>
  <c r="CK107" i="28"/>
  <c r="CL107" i="28"/>
  <c r="CM107" i="28"/>
  <c r="CN107" i="28"/>
  <c r="CO107" i="28"/>
  <c r="CP107" i="28"/>
  <c r="CQ107" i="28"/>
  <c r="CR107" i="28"/>
  <c r="CS107" i="28"/>
  <c r="CT107" i="28"/>
  <c r="CU107" i="28"/>
  <c r="CV107" i="28"/>
  <c r="CW107" i="28"/>
  <c r="CX107" i="28"/>
  <c r="CY107" i="28"/>
  <c r="CZ107" i="28"/>
  <c r="DA107" i="28"/>
  <c r="DB107" i="28"/>
  <c r="DC107" i="28"/>
  <c r="DD107" i="28"/>
  <c r="DE107" i="28"/>
  <c r="DF107" i="28"/>
  <c r="DG107" i="28"/>
  <c r="DH107" i="28"/>
  <c r="DI107" i="28"/>
  <c r="DJ107" i="28"/>
  <c r="DK107" i="28"/>
  <c r="DL107" i="28"/>
  <c r="DM107" i="28"/>
  <c r="DN107" i="28"/>
  <c r="DO107" i="28"/>
  <c r="DP107" i="28"/>
  <c r="DQ107" i="28"/>
  <c r="DR107" i="28"/>
  <c r="DS107" i="28"/>
  <c r="DT107" i="28"/>
  <c r="DU107" i="28"/>
  <c r="DV107" i="28"/>
  <c r="DW107" i="28"/>
  <c r="DX107" i="28"/>
  <c r="DY107" i="28"/>
  <c r="DZ107" i="28"/>
  <c r="EA107" i="28"/>
  <c r="EB107" i="28"/>
  <c r="EC107" i="28"/>
  <c r="ED107" i="28"/>
  <c r="EE107" i="28"/>
  <c r="EF107" i="28"/>
  <c r="EG107" i="28"/>
  <c r="EH107" i="28"/>
  <c r="EI107" i="28"/>
  <c r="EJ107" i="28"/>
  <c r="EK107" i="28"/>
  <c r="EL107" i="28"/>
  <c r="EM107" i="28"/>
  <c r="EN107" i="28"/>
  <c r="EO107" i="28"/>
  <c r="EP107" i="28"/>
  <c r="EQ107" i="28"/>
  <c r="ER107" i="28"/>
  <c r="ES107" i="28"/>
  <c r="ET107" i="28"/>
  <c r="EU107" i="28"/>
  <c r="EV107" i="28"/>
  <c r="EW107" i="28"/>
  <c r="EX107" i="28"/>
  <c r="EY107" i="28"/>
  <c r="EZ107" i="28"/>
  <c r="FA107" i="28"/>
  <c r="FB107" i="28"/>
  <c r="FC107" i="28"/>
  <c r="FD107" i="28"/>
  <c r="FE107" i="28"/>
  <c r="FF107" i="28"/>
  <c r="FG107" i="28"/>
  <c r="FH107" i="28"/>
  <c r="FI107" i="28"/>
  <c r="FJ107" i="28"/>
  <c r="FK107" i="28"/>
  <c r="FL107" i="28"/>
  <c r="FM107" i="28"/>
  <c r="FN107" i="28"/>
  <c r="FO107" i="28"/>
  <c r="FP107" i="28"/>
  <c r="FQ107" i="28"/>
  <c r="FR107" i="28"/>
  <c r="FS107" i="28"/>
  <c r="FT107" i="28"/>
  <c r="FU107" i="28"/>
  <c r="FV107" i="28"/>
  <c r="FW107" i="28"/>
  <c r="FX107" i="28"/>
  <c r="FY107" i="28"/>
  <c r="FZ107" i="28"/>
  <c r="GA107" i="28"/>
  <c r="GB107" i="28"/>
  <c r="GC107" i="28"/>
  <c r="GD107" i="28"/>
  <c r="GE107" i="28"/>
  <c r="GF107" i="28"/>
  <c r="GG107" i="28"/>
  <c r="GH107" i="28"/>
  <c r="GI107" i="28"/>
  <c r="GJ107" i="28"/>
  <c r="GK107" i="28"/>
  <c r="GL107" i="28"/>
  <c r="GM107" i="28"/>
  <c r="GN107" i="28"/>
  <c r="GO107" i="28"/>
  <c r="GP107" i="28"/>
  <c r="GQ107" i="28"/>
  <c r="GR107" i="28"/>
  <c r="GS107" i="28"/>
  <c r="GT107" i="28"/>
  <c r="GU107" i="28"/>
  <c r="GV107" i="28"/>
  <c r="GW107" i="28"/>
  <c r="GX107" i="28"/>
  <c r="GY107" i="28"/>
  <c r="GZ107" i="28"/>
  <c r="HA107" i="28"/>
  <c r="HB107" i="28"/>
  <c r="HC107" i="28"/>
  <c r="HD107" i="28"/>
  <c r="HE107" i="28"/>
  <c r="HF107" i="28"/>
  <c r="HG107" i="28"/>
  <c r="HH107" i="28"/>
  <c r="HI107" i="28"/>
  <c r="HJ107" i="28"/>
  <c r="HK107" i="28"/>
  <c r="HL107" i="28"/>
  <c r="HM107" i="28"/>
  <c r="HN107" i="28"/>
  <c r="HO107" i="28"/>
  <c r="HP107" i="28"/>
  <c r="HQ107" i="28"/>
  <c r="HR107" i="28"/>
  <c r="HS107" i="28"/>
  <c r="HT107" i="28"/>
  <c r="HU107" i="28"/>
  <c r="HV107" i="28"/>
  <c r="HW107" i="28"/>
  <c r="HX107" i="28"/>
  <c r="HY107" i="28"/>
  <c r="HZ107" i="28"/>
  <c r="IA107" i="28"/>
  <c r="IB107" i="28"/>
  <c r="IC107" i="28"/>
  <c r="ID107" i="28"/>
  <c r="IE107" i="28"/>
  <c r="IF107" i="28"/>
  <c r="IG107" i="28"/>
  <c r="IH107" i="28"/>
  <c r="II107" i="28"/>
  <c r="IJ107" i="28"/>
  <c r="IK107" i="28"/>
  <c r="IL107" i="28"/>
  <c r="IM107" i="28"/>
  <c r="IN107" i="28"/>
  <c r="IO107" i="28"/>
  <c r="IP107" i="28"/>
  <c r="IQ107" i="28"/>
  <c r="IR107" i="28"/>
  <c r="IS107" i="28"/>
  <c r="IT107" i="28"/>
  <c r="IU107" i="28"/>
  <c r="IV107" i="28"/>
  <c r="A106" i="28"/>
  <c r="B106" i="28"/>
  <c r="C106" i="28"/>
  <c r="E106" i="28"/>
  <c r="F106" i="28"/>
  <c r="G106" i="28"/>
  <c r="H106" i="28"/>
  <c r="I106" i="28"/>
  <c r="J106" i="28"/>
  <c r="K106" i="28"/>
  <c r="L106" i="28"/>
  <c r="M106" i="28"/>
  <c r="N106" i="28"/>
  <c r="O106" i="28"/>
  <c r="P106" i="28"/>
  <c r="Q106" i="28"/>
  <c r="R106" i="28"/>
  <c r="S106" i="28"/>
  <c r="T106" i="28"/>
  <c r="U106" i="28"/>
  <c r="V106" i="28"/>
  <c r="W106" i="28"/>
  <c r="X106" i="28"/>
  <c r="Y106" i="28"/>
  <c r="Z106" i="28"/>
  <c r="AA106" i="28"/>
  <c r="AB106" i="28"/>
  <c r="AC106" i="28"/>
  <c r="AD106" i="28"/>
  <c r="AE106" i="28"/>
  <c r="AF106" i="28"/>
  <c r="AG106" i="28"/>
  <c r="AH106" i="28"/>
  <c r="AI106" i="28"/>
  <c r="AJ106" i="28"/>
  <c r="AK106" i="28"/>
  <c r="AL106" i="28"/>
  <c r="AM106" i="28"/>
  <c r="AN106" i="28"/>
  <c r="AO106" i="28"/>
  <c r="AP106" i="28"/>
  <c r="AQ106" i="28"/>
  <c r="AR106" i="28"/>
  <c r="AS106" i="28"/>
  <c r="AT106" i="28"/>
  <c r="AU106" i="28"/>
  <c r="AV106" i="28"/>
  <c r="AW106" i="28"/>
  <c r="AX106" i="28"/>
  <c r="AY106" i="28"/>
  <c r="AZ106" i="28"/>
  <c r="BA106" i="28"/>
  <c r="BB106" i="28"/>
  <c r="BC106" i="28"/>
  <c r="BD106" i="28"/>
  <c r="BE106" i="28"/>
  <c r="BF106" i="28"/>
  <c r="BG106" i="28"/>
  <c r="BH106" i="28"/>
  <c r="BI106" i="28"/>
  <c r="BJ106" i="28"/>
  <c r="BK106" i="28"/>
  <c r="BL106" i="28"/>
  <c r="BM106" i="28"/>
  <c r="BN106" i="28"/>
  <c r="BO106" i="28"/>
  <c r="BP106" i="28"/>
  <c r="BQ106" i="28"/>
  <c r="BR106" i="28"/>
  <c r="BS106" i="28"/>
  <c r="BT106" i="28"/>
  <c r="BU106" i="28"/>
  <c r="BV106" i="28"/>
  <c r="BW106" i="28"/>
  <c r="BX106" i="28"/>
  <c r="BY106" i="28"/>
  <c r="BZ106" i="28"/>
  <c r="CA106" i="28"/>
  <c r="CB106" i="28"/>
  <c r="CC106" i="28"/>
  <c r="CD106" i="28"/>
  <c r="CE106" i="28"/>
  <c r="CF106" i="28"/>
  <c r="CG106" i="28"/>
  <c r="CH106" i="28"/>
  <c r="CI106" i="28"/>
  <c r="CJ106" i="28"/>
  <c r="CK106" i="28"/>
  <c r="CL106" i="28"/>
  <c r="CM106" i="28"/>
  <c r="CN106" i="28"/>
  <c r="CO106" i="28"/>
  <c r="CP106" i="28"/>
  <c r="CQ106" i="28"/>
  <c r="CR106" i="28"/>
  <c r="CS106" i="28"/>
  <c r="CT106" i="28"/>
  <c r="CU106" i="28"/>
  <c r="CV106" i="28"/>
  <c r="CW106" i="28"/>
  <c r="CX106" i="28"/>
  <c r="CY106" i="28"/>
  <c r="CZ106" i="28"/>
  <c r="DA106" i="28"/>
  <c r="DB106" i="28"/>
  <c r="DC106" i="28"/>
  <c r="DD106" i="28"/>
  <c r="DE106" i="28"/>
  <c r="DF106" i="28"/>
  <c r="DG106" i="28"/>
  <c r="DH106" i="28"/>
  <c r="DI106" i="28"/>
  <c r="DJ106" i="28"/>
  <c r="DK106" i="28"/>
  <c r="DL106" i="28"/>
  <c r="DM106" i="28"/>
  <c r="DN106" i="28"/>
  <c r="DO106" i="28"/>
  <c r="DP106" i="28"/>
  <c r="DQ106" i="28"/>
  <c r="DR106" i="28"/>
  <c r="DS106" i="28"/>
  <c r="DT106" i="28"/>
  <c r="DU106" i="28"/>
  <c r="DV106" i="28"/>
  <c r="DW106" i="28"/>
  <c r="DX106" i="28"/>
  <c r="DY106" i="28"/>
  <c r="DZ106" i="28"/>
  <c r="EA106" i="28"/>
  <c r="EB106" i="28"/>
  <c r="EC106" i="28"/>
  <c r="ED106" i="28"/>
  <c r="EE106" i="28"/>
  <c r="EF106" i="28"/>
  <c r="EG106" i="28"/>
  <c r="EH106" i="28"/>
  <c r="EI106" i="28"/>
  <c r="EJ106" i="28"/>
  <c r="EK106" i="28"/>
  <c r="EL106" i="28"/>
  <c r="EM106" i="28"/>
  <c r="EN106" i="28"/>
  <c r="EO106" i="28"/>
  <c r="EP106" i="28"/>
  <c r="EQ106" i="28"/>
  <c r="ER106" i="28"/>
  <c r="ES106" i="28"/>
  <c r="ET106" i="28"/>
  <c r="EU106" i="28"/>
  <c r="EV106" i="28"/>
  <c r="EW106" i="28"/>
  <c r="EX106" i="28"/>
  <c r="EY106" i="28"/>
  <c r="EZ106" i="28"/>
  <c r="FA106" i="28"/>
  <c r="FB106" i="28"/>
  <c r="FC106" i="28"/>
  <c r="FD106" i="28"/>
  <c r="FE106" i="28"/>
  <c r="FF106" i="28"/>
  <c r="FG106" i="28"/>
  <c r="FH106" i="28"/>
  <c r="FI106" i="28"/>
  <c r="FJ106" i="28"/>
  <c r="FK106" i="28"/>
  <c r="FL106" i="28"/>
  <c r="FM106" i="28"/>
  <c r="FN106" i="28"/>
  <c r="FO106" i="28"/>
  <c r="FP106" i="28"/>
  <c r="FQ106" i="28"/>
  <c r="FR106" i="28"/>
  <c r="FS106" i="28"/>
  <c r="FT106" i="28"/>
  <c r="FU106" i="28"/>
  <c r="FV106" i="28"/>
  <c r="FW106" i="28"/>
  <c r="FX106" i="28"/>
  <c r="FY106" i="28"/>
  <c r="FZ106" i="28"/>
  <c r="GA106" i="28"/>
  <c r="GB106" i="28"/>
  <c r="GC106" i="28"/>
  <c r="GD106" i="28"/>
  <c r="GE106" i="28"/>
  <c r="GF106" i="28"/>
  <c r="GG106" i="28"/>
  <c r="GH106" i="28"/>
  <c r="GI106" i="28"/>
  <c r="GJ106" i="28"/>
  <c r="GK106" i="28"/>
  <c r="GL106" i="28"/>
  <c r="GM106" i="28"/>
  <c r="GN106" i="28"/>
  <c r="GO106" i="28"/>
  <c r="GP106" i="28"/>
  <c r="GQ106" i="28"/>
  <c r="GR106" i="28"/>
  <c r="GS106" i="28"/>
  <c r="GT106" i="28"/>
  <c r="GU106" i="28"/>
  <c r="GV106" i="28"/>
  <c r="GW106" i="28"/>
  <c r="GX106" i="28"/>
  <c r="GY106" i="28"/>
  <c r="GZ106" i="28"/>
  <c r="HA106" i="28"/>
  <c r="HB106" i="28"/>
  <c r="HC106" i="28"/>
  <c r="HD106" i="28"/>
  <c r="HE106" i="28"/>
  <c r="HF106" i="28"/>
  <c r="HG106" i="28"/>
  <c r="HH106" i="28"/>
  <c r="HI106" i="28"/>
  <c r="HJ106" i="28"/>
  <c r="HK106" i="28"/>
  <c r="HL106" i="28"/>
  <c r="HM106" i="28"/>
  <c r="HN106" i="28"/>
  <c r="HO106" i="28"/>
  <c r="HP106" i="28"/>
  <c r="HQ106" i="28"/>
  <c r="HR106" i="28"/>
  <c r="HS106" i="28"/>
  <c r="HT106" i="28"/>
  <c r="HU106" i="28"/>
  <c r="HV106" i="28"/>
  <c r="HW106" i="28"/>
  <c r="HX106" i="28"/>
  <c r="HY106" i="28"/>
  <c r="HZ106" i="28"/>
  <c r="IA106" i="28"/>
  <c r="IB106" i="28"/>
  <c r="IC106" i="28"/>
  <c r="ID106" i="28"/>
  <c r="IE106" i="28"/>
  <c r="IF106" i="28"/>
  <c r="IG106" i="28"/>
  <c r="IH106" i="28"/>
  <c r="II106" i="28"/>
  <c r="IJ106" i="28"/>
  <c r="IK106" i="28"/>
  <c r="IL106" i="28"/>
  <c r="IM106" i="28"/>
  <c r="IN106" i="28"/>
  <c r="IO106" i="28"/>
  <c r="IP106" i="28"/>
  <c r="IQ106" i="28"/>
  <c r="IR106" i="28"/>
  <c r="IS106" i="28"/>
  <c r="IT106" i="28"/>
  <c r="IU106" i="28"/>
  <c r="IV106" i="28"/>
  <c r="A105" i="28"/>
  <c r="B105" i="28"/>
  <c r="C105" i="28"/>
  <c r="D105" i="28"/>
  <c r="E105" i="28"/>
  <c r="F105" i="28"/>
  <c r="G105" i="28"/>
  <c r="H105" i="28"/>
  <c r="I105" i="28"/>
  <c r="J105" i="28"/>
  <c r="K105" i="28"/>
  <c r="L105" i="28"/>
  <c r="M105" i="28"/>
  <c r="N105" i="28"/>
  <c r="O105" i="28"/>
  <c r="P105" i="28"/>
  <c r="Q105" i="28"/>
  <c r="R105" i="28"/>
  <c r="S105" i="28"/>
  <c r="T105" i="28"/>
  <c r="U105" i="28"/>
  <c r="V105" i="28"/>
  <c r="W105" i="28"/>
  <c r="X105" i="28"/>
  <c r="Y105" i="28"/>
  <c r="Z105" i="28"/>
  <c r="AA105" i="28"/>
  <c r="AB105" i="28"/>
  <c r="AC105" i="28"/>
  <c r="AD105" i="28"/>
  <c r="AE105" i="28"/>
  <c r="AF105" i="28"/>
  <c r="AG105" i="28"/>
  <c r="AH105" i="28"/>
  <c r="AI105" i="28"/>
  <c r="AJ105" i="28"/>
  <c r="AK105" i="28"/>
  <c r="AL105" i="28"/>
  <c r="AM105" i="28"/>
  <c r="AN105" i="28"/>
  <c r="AO105" i="28"/>
  <c r="AP105" i="28"/>
  <c r="AQ105" i="28"/>
  <c r="AR105" i="28"/>
  <c r="AS105" i="28"/>
  <c r="AT105" i="28"/>
  <c r="AU105" i="28"/>
  <c r="AV105" i="28"/>
  <c r="AW105" i="28"/>
  <c r="AX105" i="28"/>
  <c r="AY105" i="28"/>
  <c r="AZ105" i="28"/>
  <c r="BA105" i="28"/>
  <c r="BB105" i="28"/>
  <c r="BC105" i="28"/>
  <c r="BD105" i="28"/>
  <c r="BE105" i="28"/>
  <c r="BF105" i="28"/>
  <c r="BG105" i="28"/>
  <c r="BH105" i="28"/>
  <c r="BI105" i="28"/>
  <c r="BJ105" i="28"/>
  <c r="BK105" i="28"/>
  <c r="BL105" i="28"/>
  <c r="BM105" i="28"/>
  <c r="BN105" i="28"/>
  <c r="BO105" i="28"/>
  <c r="BP105" i="28"/>
  <c r="BQ105" i="28"/>
  <c r="BR105" i="28"/>
  <c r="BS105" i="28"/>
  <c r="BT105" i="28"/>
  <c r="BU105" i="28"/>
  <c r="BV105" i="28"/>
  <c r="BW105" i="28"/>
  <c r="BX105" i="28"/>
  <c r="BY105" i="28"/>
  <c r="BZ105" i="28"/>
  <c r="CA105" i="28"/>
  <c r="CB105" i="28"/>
  <c r="CC105" i="28"/>
  <c r="CD105" i="28"/>
  <c r="CE105" i="28"/>
  <c r="CF105" i="28"/>
  <c r="CG105" i="28"/>
  <c r="CH105" i="28"/>
  <c r="CI105" i="28"/>
  <c r="CJ105" i="28"/>
  <c r="CK105" i="28"/>
  <c r="CL105" i="28"/>
  <c r="CM105" i="28"/>
  <c r="CN105" i="28"/>
  <c r="CO105" i="28"/>
  <c r="CP105" i="28"/>
  <c r="CQ105" i="28"/>
  <c r="CR105" i="28"/>
  <c r="CS105" i="28"/>
  <c r="CT105" i="28"/>
  <c r="CU105" i="28"/>
  <c r="CV105" i="28"/>
  <c r="CW105" i="28"/>
  <c r="CX105" i="28"/>
  <c r="CY105" i="28"/>
  <c r="CZ105" i="28"/>
  <c r="DA105" i="28"/>
  <c r="DB105" i="28"/>
  <c r="DC105" i="28"/>
  <c r="DD105" i="28"/>
  <c r="DE105" i="28"/>
  <c r="DF105" i="28"/>
  <c r="DG105" i="28"/>
  <c r="DH105" i="28"/>
  <c r="DI105" i="28"/>
  <c r="DJ105" i="28"/>
  <c r="DK105" i="28"/>
  <c r="DL105" i="28"/>
  <c r="DM105" i="28"/>
  <c r="DN105" i="28"/>
  <c r="DO105" i="28"/>
  <c r="DP105" i="28"/>
  <c r="DQ105" i="28"/>
  <c r="DR105" i="28"/>
  <c r="DS105" i="28"/>
  <c r="DT105" i="28"/>
  <c r="DU105" i="28"/>
  <c r="DV105" i="28"/>
  <c r="DW105" i="28"/>
  <c r="DX105" i="28"/>
  <c r="DY105" i="28"/>
  <c r="DZ105" i="28"/>
  <c r="EA105" i="28"/>
  <c r="EB105" i="28"/>
  <c r="EC105" i="28"/>
  <c r="ED105" i="28"/>
  <c r="EE105" i="28"/>
  <c r="EF105" i="28"/>
  <c r="EG105" i="28"/>
  <c r="EH105" i="28"/>
  <c r="EI105" i="28"/>
  <c r="EJ105" i="28"/>
  <c r="EK105" i="28"/>
  <c r="EL105" i="28"/>
  <c r="EM105" i="28"/>
  <c r="EN105" i="28"/>
  <c r="EO105" i="28"/>
  <c r="EP105" i="28"/>
  <c r="EQ105" i="28"/>
  <c r="ER105" i="28"/>
  <c r="ES105" i="28"/>
  <c r="ET105" i="28"/>
  <c r="EU105" i="28"/>
  <c r="EV105" i="28"/>
  <c r="EW105" i="28"/>
  <c r="EX105" i="28"/>
  <c r="EY105" i="28"/>
  <c r="EZ105" i="28"/>
  <c r="FA105" i="28"/>
  <c r="FB105" i="28"/>
  <c r="FC105" i="28"/>
  <c r="FD105" i="28"/>
  <c r="FE105" i="28"/>
  <c r="FF105" i="28"/>
  <c r="FG105" i="28"/>
  <c r="FH105" i="28"/>
  <c r="FI105" i="28"/>
  <c r="FJ105" i="28"/>
  <c r="FK105" i="28"/>
  <c r="FL105" i="28"/>
  <c r="FM105" i="28"/>
  <c r="FN105" i="28"/>
  <c r="FO105" i="28"/>
  <c r="FP105" i="28"/>
  <c r="FQ105" i="28"/>
  <c r="FR105" i="28"/>
  <c r="FS105" i="28"/>
  <c r="FT105" i="28"/>
  <c r="FU105" i="28"/>
  <c r="FV105" i="28"/>
  <c r="FW105" i="28"/>
  <c r="FX105" i="28"/>
  <c r="FY105" i="28"/>
  <c r="FZ105" i="28"/>
  <c r="GA105" i="28"/>
  <c r="GB105" i="28"/>
  <c r="GC105" i="28"/>
  <c r="GD105" i="28"/>
  <c r="GE105" i="28"/>
  <c r="GF105" i="28"/>
  <c r="GG105" i="28"/>
  <c r="GH105" i="28"/>
  <c r="GI105" i="28"/>
  <c r="GJ105" i="28"/>
  <c r="GK105" i="28"/>
  <c r="GL105" i="28"/>
  <c r="GM105" i="28"/>
  <c r="GN105" i="28"/>
  <c r="GO105" i="28"/>
  <c r="GP105" i="28"/>
  <c r="GQ105" i="28"/>
  <c r="GR105" i="28"/>
  <c r="GS105" i="28"/>
  <c r="GT105" i="28"/>
  <c r="GU105" i="28"/>
  <c r="GV105" i="28"/>
  <c r="GW105" i="28"/>
  <c r="GX105" i="28"/>
  <c r="GY105" i="28"/>
  <c r="GZ105" i="28"/>
  <c r="HA105" i="28"/>
  <c r="HB105" i="28"/>
  <c r="HC105" i="28"/>
  <c r="HD105" i="28"/>
  <c r="HE105" i="28"/>
  <c r="HF105" i="28"/>
  <c r="HG105" i="28"/>
  <c r="HH105" i="28"/>
  <c r="HI105" i="28"/>
  <c r="HJ105" i="28"/>
  <c r="HK105" i="28"/>
  <c r="HL105" i="28"/>
  <c r="HM105" i="28"/>
  <c r="HN105" i="28"/>
  <c r="HO105" i="28"/>
  <c r="HP105" i="28"/>
  <c r="HQ105" i="28"/>
  <c r="HR105" i="28"/>
  <c r="HS105" i="28"/>
  <c r="HT105" i="28"/>
  <c r="HU105" i="28"/>
  <c r="HV105" i="28"/>
  <c r="HW105" i="28"/>
  <c r="HX105" i="28"/>
  <c r="HY105" i="28"/>
  <c r="HZ105" i="28"/>
  <c r="IA105" i="28"/>
  <c r="IB105" i="28"/>
  <c r="IC105" i="28"/>
  <c r="ID105" i="28"/>
  <c r="IE105" i="28"/>
  <c r="IF105" i="28"/>
  <c r="IG105" i="28"/>
  <c r="IH105" i="28"/>
  <c r="II105" i="28"/>
  <c r="IJ105" i="28"/>
  <c r="IK105" i="28"/>
  <c r="IL105" i="28"/>
  <c r="IM105" i="28"/>
  <c r="IN105" i="28"/>
  <c r="IO105" i="28"/>
  <c r="IP105" i="28"/>
  <c r="IQ105" i="28"/>
  <c r="IR105" i="28"/>
  <c r="IS105" i="28"/>
  <c r="IT105" i="28"/>
  <c r="IU105" i="28"/>
  <c r="IV105" i="28"/>
  <c r="A104" i="28"/>
  <c r="B104" i="28"/>
  <c r="C104" i="28"/>
  <c r="D104" i="28"/>
  <c r="F104" i="28"/>
  <c r="G104" i="28"/>
  <c r="H104" i="28"/>
  <c r="I104" i="28"/>
  <c r="J104" i="28"/>
  <c r="K104" i="28"/>
  <c r="L104" i="28"/>
  <c r="M104" i="28"/>
  <c r="N104" i="28"/>
  <c r="O104" i="28"/>
  <c r="P104" i="28"/>
  <c r="Q104" i="28"/>
  <c r="R104" i="28"/>
  <c r="S104" i="28"/>
  <c r="T104" i="28"/>
  <c r="U104" i="28"/>
  <c r="V104" i="28"/>
  <c r="W104" i="28"/>
  <c r="X104" i="28"/>
  <c r="Y104" i="28"/>
  <c r="Z104" i="28"/>
  <c r="AA104" i="28"/>
  <c r="AB104" i="28"/>
  <c r="AC104" i="28"/>
  <c r="AD104" i="28"/>
  <c r="AE104" i="28"/>
  <c r="AF104" i="28"/>
  <c r="AG104" i="28"/>
  <c r="AH104" i="28"/>
  <c r="AI104" i="28"/>
  <c r="AJ104" i="28"/>
  <c r="AK104" i="28"/>
  <c r="AL104" i="28"/>
  <c r="AM104" i="28"/>
  <c r="AN104" i="28"/>
  <c r="AO104" i="28"/>
  <c r="AP104" i="28"/>
  <c r="AQ104" i="28"/>
  <c r="AR104" i="28"/>
  <c r="AS104" i="28"/>
  <c r="AT104" i="28"/>
  <c r="AU104" i="28"/>
  <c r="AV104" i="28"/>
  <c r="AW104" i="28"/>
  <c r="AX104" i="28"/>
  <c r="AY104" i="28"/>
  <c r="AZ104" i="28"/>
  <c r="BA104" i="28"/>
  <c r="BB104" i="28"/>
  <c r="BC104" i="28"/>
  <c r="BD104" i="28"/>
  <c r="BE104" i="28"/>
  <c r="BF104" i="28"/>
  <c r="BG104" i="28"/>
  <c r="BH104" i="28"/>
  <c r="BI104" i="28"/>
  <c r="BJ104" i="28"/>
  <c r="BK104" i="28"/>
  <c r="BL104" i="28"/>
  <c r="BM104" i="28"/>
  <c r="BN104" i="28"/>
  <c r="BO104" i="28"/>
  <c r="BP104" i="28"/>
  <c r="BQ104" i="28"/>
  <c r="BR104" i="28"/>
  <c r="BS104" i="28"/>
  <c r="BT104" i="28"/>
  <c r="BU104" i="28"/>
  <c r="BV104" i="28"/>
  <c r="BW104" i="28"/>
  <c r="BX104" i="28"/>
  <c r="BY104" i="28"/>
  <c r="BZ104" i="28"/>
  <c r="CA104" i="28"/>
  <c r="CB104" i="28"/>
  <c r="CC104" i="28"/>
  <c r="CD104" i="28"/>
  <c r="CE104" i="28"/>
  <c r="CF104" i="28"/>
  <c r="CG104" i="28"/>
  <c r="CH104" i="28"/>
  <c r="CI104" i="28"/>
  <c r="CJ104" i="28"/>
  <c r="CK104" i="28"/>
  <c r="CL104" i="28"/>
  <c r="CM104" i="28"/>
  <c r="CN104" i="28"/>
  <c r="CO104" i="28"/>
  <c r="CP104" i="28"/>
  <c r="CQ104" i="28"/>
  <c r="CR104" i="28"/>
  <c r="CS104" i="28"/>
  <c r="CT104" i="28"/>
  <c r="CU104" i="28"/>
  <c r="CV104" i="28"/>
  <c r="CW104" i="28"/>
  <c r="CX104" i="28"/>
  <c r="CY104" i="28"/>
  <c r="CZ104" i="28"/>
  <c r="DA104" i="28"/>
  <c r="DB104" i="28"/>
  <c r="DC104" i="28"/>
  <c r="DD104" i="28"/>
  <c r="DE104" i="28"/>
  <c r="DF104" i="28"/>
  <c r="DG104" i="28"/>
  <c r="DH104" i="28"/>
  <c r="DI104" i="28"/>
  <c r="DJ104" i="28"/>
  <c r="DK104" i="28"/>
  <c r="DL104" i="28"/>
  <c r="DM104" i="28"/>
  <c r="DN104" i="28"/>
  <c r="DO104" i="28"/>
  <c r="DP104" i="28"/>
  <c r="DQ104" i="28"/>
  <c r="DR104" i="28"/>
  <c r="DS104" i="28"/>
  <c r="DT104" i="28"/>
  <c r="DU104" i="28"/>
  <c r="DV104" i="28"/>
  <c r="DW104" i="28"/>
  <c r="DX104" i="28"/>
  <c r="DY104" i="28"/>
  <c r="DZ104" i="28"/>
  <c r="EA104" i="28"/>
  <c r="EB104" i="28"/>
  <c r="EC104" i="28"/>
  <c r="ED104" i="28"/>
  <c r="EE104" i="28"/>
  <c r="EF104" i="28"/>
  <c r="EG104" i="28"/>
  <c r="EH104" i="28"/>
  <c r="EI104" i="28"/>
  <c r="EJ104" i="28"/>
  <c r="EK104" i="28"/>
  <c r="EL104" i="28"/>
  <c r="EM104" i="28"/>
  <c r="EN104" i="28"/>
  <c r="EO104" i="28"/>
  <c r="EP104" i="28"/>
  <c r="EQ104" i="28"/>
  <c r="ER104" i="28"/>
  <c r="ES104" i="28"/>
  <c r="ET104" i="28"/>
  <c r="EU104" i="28"/>
  <c r="EV104" i="28"/>
  <c r="EW104" i="28"/>
  <c r="EX104" i="28"/>
  <c r="EY104" i="28"/>
  <c r="EZ104" i="28"/>
  <c r="FA104" i="28"/>
  <c r="FB104" i="28"/>
  <c r="FC104" i="28"/>
  <c r="FD104" i="28"/>
  <c r="FE104" i="28"/>
  <c r="FF104" i="28"/>
  <c r="FG104" i="28"/>
  <c r="FH104" i="28"/>
  <c r="FI104" i="28"/>
  <c r="FJ104" i="28"/>
  <c r="FK104" i="28"/>
  <c r="FL104" i="28"/>
  <c r="FM104" i="28"/>
  <c r="FN104" i="28"/>
  <c r="FO104" i="28"/>
  <c r="FP104" i="28"/>
  <c r="FQ104" i="28"/>
  <c r="FR104" i="28"/>
  <c r="FS104" i="28"/>
  <c r="FT104" i="28"/>
  <c r="FU104" i="28"/>
  <c r="FV104" i="28"/>
  <c r="FW104" i="28"/>
  <c r="FX104" i="28"/>
  <c r="FY104" i="28"/>
  <c r="FZ104" i="28"/>
  <c r="GA104" i="28"/>
  <c r="GB104" i="28"/>
  <c r="GC104" i="28"/>
  <c r="GD104" i="28"/>
  <c r="GE104" i="28"/>
  <c r="GF104" i="28"/>
  <c r="GG104" i="28"/>
  <c r="GH104" i="28"/>
  <c r="GI104" i="28"/>
  <c r="GJ104" i="28"/>
  <c r="GK104" i="28"/>
  <c r="GL104" i="28"/>
  <c r="GM104" i="28"/>
  <c r="GN104" i="28"/>
  <c r="GO104" i="28"/>
  <c r="GP104" i="28"/>
  <c r="GQ104" i="28"/>
  <c r="GR104" i="28"/>
  <c r="GS104" i="28"/>
  <c r="GT104" i="28"/>
  <c r="GU104" i="28"/>
  <c r="GV104" i="28"/>
  <c r="GW104" i="28"/>
  <c r="GX104" i="28"/>
  <c r="GY104" i="28"/>
  <c r="GZ104" i="28"/>
  <c r="HA104" i="28"/>
  <c r="HB104" i="28"/>
  <c r="HC104" i="28"/>
  <c r="HD104" i="28"/>
  <c r="HE104" i="28"/>
  <c r="HF104" i="28"/>
  <c r="HG104" i="28"/>
  <c r="HH104" i="28"/>
  <c r="HI104" i="28"/>
  <c r="HJ104" i="28"/>
  <c r="HK104" i="28"/>
  <c r="HL104" i="28"/>
  <c r="HM104" i="28"/>
  <c r="HN104" i="28"/>
  <c r="HO104" i="28"/>
  <c r="HP104" i="28"/>
  <c r="HQ104" i="28"/>
  <c r="HR104" i="28"/>
  <c r="HS104" i="28"/>
  <c r="HT104" i="28"/>
  <c r="HU104" i="28"/>
  <c r="HV104" i="28"/>
  <c r="HW104" i="28"/>
  <c r="HX104" i="28"/>
  <c r="HY104" i="28"/>
  <c r="HZ104" i="28"/>
  <c r="IA104" i="28"/>
  <c r="IB104" i="28"/>
  <c r="IC104" i="28"/>
  <c r="ID104" i="28"/>
  <c r="IE104" i="28"/>
  <c r="IF104" i="28"/>
  <c r="IG104" i="28"/>
  <c r="IH104" i="28"/>
  <c r="II104" i="28"/>
  <c r="IJ104" i="28"/>
  <c r="IK104" i="28"/>
  <c r="IL104" i="28"/>
  <c r="IM104" i="28"/>
  <c r="IN104" i="28"/>
  <c r="IO104" i="28"/>
  <c r="IP104" i="28"/>
  <c r="IQ104" i="28"/>
  <c r="IR104" i="28"/>
  <c r="IS104" i="28"/>
  <c r="IT104" i="28"/>
  <c r="IU104" i="28"/>
  <c r="IV104" i="28"/>
  <c r="A103" i="28"/>
  <c r="C103" i="28"/>
  <c r="D103" i="28"/>
  <c r="E103" i="28"/>
  <c r="F103" i="28"/>
  <c r="G103" i="28"/>
  <c r="H103" i="28"/>
  <c r="I103" i="28"/>
  <c r="J103" i="28"/>
  <c r="K103" i="28"/>
  <c r="L103" i="28"/>
  <c r="M103" i="28"/>
  <c r="N103" i="28"/>
  <c r="O103" i="28"/>
  <c r="P103" i="28"/>
  <c r="Q103" i="28"/>
  <c r="R103" i="28"/>
  <c r="S103" i="28"/>
  <c r="T103" i="28"/>
  <c r="U103" i="28"/>
  <c r="V103" i="28"/>
  <c r="W103" i="28"/>
  <c r="X103" i="28"/>
  <c r="Y103" i="28"/>
  <c r="Z103" i="28"/>
  <c r="AA103" i="28"/>
  <c r="AB103" i="28"/>
  <c r="AC103" i="28"/>
  <c r="AD103" i="28"/>
  <c r="AE103" i="28"/>
  <c r="AF103" i="28"/>
  <c r="AG103" i="28"/>
  <c r="AH103" i="28"/>
  <c r="AI103" i="28"/>
  <c r="AJ103" i="28"/>
  <c r="AK103" i="28"/>
  <c r="AL103" i="28"/>
  <c r="AM103" i="28"/>
  <c r="AN103" i="28"/>
  <c r="AO103" i="28"/>
  <c r="AP103" i="28"/>
  <c r="AQ103" i="28"/>
  <c r="AR103" i="28"/>
  <c r="AS103" i="28"/>
  <c r="AT103" i="28"/>
  <c r="AU103" i="28"/>
  <c r="AV103" i="28"/>
  <c r="AW103" i="28"/>
  <c r="AX103" i="28"/>
  <c r="AY103" i="28"/>
  <c r="AZ103" i="28"/>
  <c r="BA103" i="28"/>
  <c r="BB103" i="28"/>
  <c r="BC103" i="28"/>
  <c r="BD103" i="28"/>
  <c r="BE103" i="28"/>
  <c r="BF103" i="28"/>
  <c r="BG103" i="28"/>
  <c r="BH103" i="28"/>
  <c r="BI103" i="28"/>
  <c r="BJ103" i="28"/>
  <c r="BK103" i="28"/>
  <c r="BL103" i="28"/>
  <c r="BM103" i="28"/>
  <c r="BN103" i="28"/>
  <c r="BO103" i="28"/>
  <c r="BP103" i="28"/>
  <c r="BQ103" i="28"/>
  <c r="BR103" i="28"/>
  <c r="BS103" i="28"/>
  <c r="BT103" i="28"/>
  <c r="BU103" i="28"/>
  <c r="BV103" i="28"/>
  <c r="BW103" i="28"/>
  <c r="BX103" i="28"/>
  <c r="BY103" i="28"/>
  <c r="BZ103" i="28"/>
  <c r="CA103" i="28"/>
  <c r="CB103" i="28"/>
  <c r="CC103" i="28"/>
  <c r="CD103" i="28"/>
  <c r="CE103" i="28"/>
  <c r="CF103" i="28"/>
  <c r="CG103" i="28"/>
  <c r="CH103" i="28"/>
  <c r="CI103" i="28"/>
  <c r="CJ103" i="28"/>
  <c r="CK103" i="28"/>
  <c r="CL103" i="28"/>
  <c r="CM103" i="28"/>
  <c r="CN103" i="28"/>
  <c r="CO103" i="28"/>
  <c r="CP103" i="28"/>
  <c r="CQ103" i="28"/>
  <c r="CR103" i="28"/>
  <c r="CS103" i="28"/>
  <c r="CT103" i="28"/>
  <c r="CU103" i="28"/>
  <c r="CV103" i="28"/>
  <c r="CW103" i="28"/>
  <c r="CX103" i="28"/>
  <c r="CY103" i="28"/>
  <c r="CZ103" i="28"/>
  <c r="DA103" i="28"/>
  <c r="DB103" i="28"/>
  <c r="DC103" i="28"/>
  <c r="DD103" i="28"/>
  <c r="DE103" i="28"/>
  <c r="DF103" i="28"/>
  <c r="DG103" i="28"/>
  <c r="DH103" i="28"/>
  <c r="DI103" i="28"/>
  <c r="DJ103" i="28"/>
  <c r="DK103" i="28"/>
  <c r="DL103" i="28"/>
  <c r="DM103" i="28"/>
  <c r="DN103" i="28"/>
  <c r="DO103" i="28"/>
  <c r="DP103" i="28"/>
  <c r="DQ103" i="28"/>
  <c r="DR103" i="28"/>
  <c r="DS103" i="28"/>
  <c r="DT103" i="28"/>
  <c r="DU103" i="28"/>
  <c r="DV103" i="28"/>
  <c r="DW103" i="28"/>
  <c r="DX103" i="28"/>
  <c r="DY103" i="28"/>
  <c r="DZ103" i="28"/>
  <c r="EA103" i="28"/>
  <c r="EB103" i="28"/>
  <c r="EC103" i="28"/>
  <c r="ED103" i="28"/>
  <c r="EE103" i="28"/>
  <c r="EF103" i="28"/>
  <c r="EG103" i="28"/>
  <c r="EH103" i="28"/>
  <c r="EI103" i="28"/>
  <c r="EJ103" i="28"/>
  <c r="EK103" i="28"/>
  <c r="EL103" i="28"/>
  <c r="EM103" i="28"/>
  <c r="EN103" i="28"/>
  <c r="EO103" i="28"/>
  <c r="EP103" i="28"/>
  <c r="EQ103" i="28"/>
  <c r="ER103" i="28"/>
  <c r="ES103" i="28"/>
  <c r="ET103" i="28"/>
  <c r="EU103" i="28"/>
  <c r="EV103" i="28"/>
  <c r="EW103" i="28"/>
  <c r="EX103" i="28"/>
  <c r="EY103" i="28"/>
  <c r="EZ103" i="28"/>
  <c r="FA103" i="28"/>
  <c r="FB103" i="28"/>
  <c r="FC103" i="28"/>
  <c r="FD103" i="28"/>
  <c r="FE103" i="28"/>
  <c r="FF103" i="28"/>
  <c r="FG103" i="28"/>
  <c r="FH103" i="28"/>
  <c r="FI103" i="28"/>
  <c r="FJ103" i="28"/>
  <c r="FK103" i="28"/>
  <c r="FL103" i="28"/>
  <c r="FM103" i="28"/>
  <c r="FN103" i="28"/>
  <c r="FO103" i="28"/>
  <c r="FP103" i="28"/>
  <c r="FQ103" i="28"/>
  <c r="FR103" i="28"/>
  <c r="FS103" i="28"/>
  <c r="FT103" i="28"/>
  <c r="FU103" i="28"/>
  <c r="FV103" i="28"/>
  <c r="FW103" i="28"/>
  <c r="FX103" i="28"/>
  <c r="FY103" i="28"/>
  <c r="FZ103" i="28"/>
  <c r="GA103" i="28"/>
  <c r="GB103" i="28"/>
  <c r="GC103" i="28"/>
  <c r="GD103" i="28"/>
  <c r="GE103" i="28"/>
  <c r="GF103" i="28"/>
  <c r="GG103" i="28"/>
  <c r="GH103" i="28"/>
  <c r="GI103" i="28"/>
  <c r="GJ103" i="28"/>
  <c r="GK103" i="28"/>
  <c r="GL103" i="28"/>
  <c r="GM103" i="28"/>
  <c r="GN103" i="28"/>
  <c r="GO103" i="28"/>
  <c r="GP103" i="28"/>
  <c r="GQ103" i="28"/>
  <c r="GR103" i="28"/>
  <c r="GS103" i="28"/>
  <c r="GT103" i="28"/>
  <c r="GU103" i="28"/>
  <c r="GV103" i="28"/>
  <c r="GW103" i="28"/>
  <c r="GX103" i="28"/>
  <c r="GY103" i="28"/>
  <c r="GZ103" i="28"/>
  <c r="HA103" i="28"/>
  <c r="HB103" i="28"/>
  <c r="HC103" i="28"/>
  <c r="HD103" i="28"/>
  <c r="HE103" i="28"/>
  <c r="HF103" i="28"/>
  <c r="HG103" i="28"/>
  <c r="HH103" i="28"/>
  <c r="HI103" i="28"/>
  <c r="HJ103" i="28"/>
  <c r="HK103" i="28"/>
  <c r="HL103" i="28"/>
  <c r="HM103" i="28"/>
  <c r="HN103" i="28"/>
  <c r="HO103" i="28"/>
  <c r="HP103" i="28"/>
  <c r="HQ103" i="28"/>
  <c r="HR103" i="28"/>
  <c r="HS103" i="28"/>
  <c r="HT103" i="28"/>
  <c r="HU103" i="28"/>
  <c r="HV103" i="28"/>
  <c r="HW103" i="28"/>
  <c r="HX103" i="28"/>
  <c r="HY103" i="28"/>
  <c r="HZ103" i="28"/>
  <c r="IA103" i="28"/>
  <c r="IB103" i="28"/>
  <c r="IC103" i="28"/>
  <c r="ID103" i="28"/>
  <c r="IE103" i="28"/>
  <c r="IF103" i="28"/>
  <c r="IG103" i="28"/>
  <c r="IH103" i="28"/>
  <c r="II103" i="28"/>
  <c r="IJ103" i="28"/>
  <c r="IK103" i="28"/>
  <c r="IL103" i="28"/>
  <c r="IM103" i="28"/>
  <c r="IN103" i="28"/>
  <c r="IO103" i="28"/>
  <c r="IP103" i="28"/>
  <c r="IQ103" i="28"/>
  <c r="IR103" i="28"/>
  <c r="IS103" i="28"/>
  <c r="IT103" i="28"/>
  <c r="IU103" i="28"/>
  <c r="IV103" i="28"/>
  <c r="A102" i="28"/>
  <c r="B102" i="28"/>
  <c r="C102" i="28"/>
  <c r="D102" i="28"/>
  <c r="E102" i="28"/>
  <c r="G102" i="28"/>
  <c r="H102" i="28"/>
  <c r="I102" i="28"/>
  <c r="J102" i="28"/>
  <c r="K102" i="28"/>
  <c r="L102" i="28"/>
  <c r="M102" i="28"/>
  <c r="N102" i="28"/>
  <c r="O102" i="28"/>
  <c r="P102" i="28"/>
  <c r="Q102" i="28"/>
  <c r="R102" i="28"/>
  <c r="S102" i="28"/>
  <c r="T102" i="28"/>
  <c r="U102" i="28"/>
  <c r="V102" i="28"/>
  <c r="W102" i="28"/>
  <c r="X102" i="28"/>
  <c r="Y102" i="28"/>
  <c r="Z102" i="28"/>
  <c r="AA102" i="28"/>
  <c r="AB102" i="28"/>
  <c r="AC102" i="28"/>
  <c r="AD102" i="28"/>
  <c r="AE102" i="28"/>
  <c r="AF102" i="28"/>
  <c r="AG102" i="28"/>
  <c r="AH102" i="28"/>
  <c r="AI102" i="28"/>
  <c r="AJ102" i="28"/>
  <c r="AK102" i="28"/>
  <c r="AL102" i="28"/>
  <c r="AM102" i="28"/>
  <c r="AN102" i="28"/>
  <c r="AO102" i="28"/>
  <c r="AP102" i="28"/>
  <c r="AQ102" i="28"/>
  <c r="AR102" i="28"/>
  <c r="AS102" i="28"/>
  <c r="AT102" i="28"/>
  <c r="AU102" i="28"/>
  <c r="AV102" i="28"/>
  <c r="AW102" i="28"/>
  <c r="AX102" i="28"/>
  <c r="AY102" i="28"/>
  <c r="AZ102" i="28"/>
  <c r="BA102" i="28"/>
  <c r="BB102" i="28"/>
  <c r="BC102" i="28"/>
  <c r="BD102" i="28"/>
  <c r="BE102" i="28"/>
  <c r="BF102" i="28"/>
  <c r="BG102" i="28"/>
  <c r="BH102" i="28"/>
  <c r="BI102" i="28"/>
  <c r="BJ102" i="28"/>
  <c r="BK102" i="28"/>
  <c r="BL102" i="28"/>
  <c r="BM102" i="28"/>
  <c r="BN102" i="28"/>
  <c r="BO102" i="28"/>
  <c r="BP102" i="28"/>
  <c r="BQ102" i="28"/>
  <c r="BR102" i="28"/>
  <c r="BS102" i="28"/>
  <c r="BT102" i="28"/>
  <c r="BU102" i="28"/>
  <c r="BV102" i="28"/>
  <c r="BW102" i="28"/>
  <c r="BX102" i="28"/>
  <c r="BY102" i="28"/>
  <c r="BZ102" i="28"/>
  <c r="CA102" i="28"/>
  <c r="CB102" i="28"/>
  <c r="CC102" i="28"/>
  <c r="CD102" i="28"/>
  <c r="CE102" i="28"/>
  <c r="CF102" i="28"/>
  <c r="CG102" i="28"/>
  <c r="CH102" i="28"/>
  <c r="CI102" i="28"/>
  <c r="CJ102" i="28"/>
  <c r="CK102" i="28"/>
  <c r="CL102" i="28"/>
  <c r="CM102" i="28"/>
  <c r="CN102" i="28"/>
  <c r="CO102" i="28"/>
  <c r="CP102" i="28"/>
  <c r="CQ102" i="28"/>
  <c r="CR102" i="28"/>
  <c r="CS102" i="28"/>
  <c r="CT102" i="28"/>
  <c r="CU102" i="28"/>
  <c r="CV102" i="28"/>
  <c r="CW102" i="28"/>
  <c r="CX102" i="28"/>
  <c r="CY102" i="28"/>
  <c r="CZ102" i="28"/>
  <c r="DA102" i="28"/>
  <c r="DB102" i="28"/>
  <c r="DC102" i="28"/>
  <c r="DD102" i="28"/>
  <c r="DE102" i="28"/>
  <c r="DF102" i="28"/>
  <c r="DG102" i="28"/>
  <c r="DH102" i="28"/>
  <c r="DI102" i="28"/>
  <c r="DJ102" i="28"/>
  <c r="DK102" i="28"/>
  <c r="DL102" i="28"/>
  <c r="DM102" i="28"/>
  <c r="DN102" i="28"/>
  <c r="DO102" i="28"/>
  <c r="DP102" i="28"/>
  <c r="DQ102" i="28"/>
  <c r="DR102" i="28"/>
  <c r="DS102" i="28"/>
  <c r="DT102" i="28"/>
  <c r="DU102" i="28"/>
  <c r="DV102" i="28"/>
  <c r="DW102" i="28"/>
  <c r="DX102" i="28"/>
  <c r="DY102" i="28"/>
  <c r="DZ102" i="28"/>
  <c r="EA102" i="28"/>
  <c r="EB102" i="28"/>
  <c r="EC102" i="28"/>
  <c r="ED102" i="28"/>
  <c r="EE102" i="28"/>
  <c r="EF102" i="28"/>
  <c r="EG102" i="28"/>
  <c r="EH102" i="28"/>
  <c r="EI102" i="28"/>
  <c r="EJ102" i="28"/>
  <c r="EK102" i="28"/>
  <c r="EL102" i="28"/>
  <c r="EM102" i="28"/>
  <c r="EN102" i="28"/>
  <c r="EO102" i="28"/>
  <c r="EP102" i="28"/>
  <c r="EQ102" i="28"/>
  <c r="ER102" i="28"/>
  <c r="ES102" i="28"/>
  <c r="ET102" i="28"/>
  <c r="EU102" i="28"/>
  <c r="EV102" i="28"/>
  <c r="EW102" i="28"/>
  <c r="EX102" i="28"/>
  <c r="EY102" i="28"/>
  <c r="EZ102" i="28"/>
  <c r="FA102" i="28"/>
  <c r="FB102" i="28"/>
  <c r="FC102" i="28"/>
  <c r="FD102" i="28"/>
  <c r="FE102" i="28"/>
  <c r="FF102" i="28"/>
  <c r="FG102" i="28"/>
  <c r="FH102" i="28"/>
  <c r="FI102" i="28"/>
  <c r="FJ102" i="28"/>
  <c r="FK102" i="28"/>
  <c r="FL102" i="28"/>
  <c r="FM102" i="28"/>
  <c r="FN102" i="28"/>
  <c r="FO102" i="28"/>
  <c r="FP102" i="28"/>
  <c r="FQ102" i="28"/>
  <c r="FR102" i="28"/>
  <c r="FS102" i="28"/>
  <c r="FT102" i="28"/>
  <c r="FU102" i="28"/>
  <c r="FV102" i="28"/>
  <c r="FW102" i="28"/>
  <c r="FX102" i="28"/>
  <c r="FY102" i="28"/>
  <c r="FZ102" i="28"/>
  <c r="GA102" i="28"/>
  <c r="GB102" i="28"/>
  <c r="GC102" i="28"/>
  <c r="GD102" i="28"/>
  <c r="GE102" i="28"/>
  <c r="GF102" i="28"/>
  <c r="GG102" i="28"/>
  <c r="GH102" i="28"/>
  <c r="GI102" i="28"/>
  <c r="GJ102" i="28"/>
  <c r="GK102" i="28"/>
  <c r="GL102" i="28"/>
  <c r="GM102" i="28"/>
  <c r="GN102" i="28"/>
  <c r="GO102" i="28"/>
  <c r="GP102" i="28"/>
  <c r="GQ102" i="28"/>
  <c r="GR102" i="28"/>
  <c r="GS102" i="28"/>
  <c r="GT102" i="28"/>
  <c r="GU102" i="28"/>
  <c r="GV102" i="28"/>
  <c r="GW102" i="28"/>
  <c r="GX102" i="28"/>
  <c r="GY102" i="28"/>
  <c r="GZ102" i="28"/>
  <c r="HA102" i="28"/>
  <c r="HB102" i="28"/>
  <c r="HC102" i="28"/>
  <c r="HD102" i="28"/>
  <c r="HE102" i="28"/>
  <c r="HF102" i="28"/>
  <c r="HG102" i="28"/>
  <c r="HH102" i="28"/>
  <c r="HI102" i="28"/>
  <c r="HJ102" i="28"/>
  <c r="HK102" i="28"/>
  <c r="HL102" i="28"/>
  <c r="HM102" i="28"/>
  <c r="HN102" i="28"/>
  <c r="HO102" i="28"/>
  <c r="HP102" i="28"/>
  <c r="HQ102" i="28"/>
  <c r="HR102" i="28"/>
  <c r="HS102" i="28"/>
  <c r="HT102" i="28"/>
  <c r="HU102" i="28"/>
  <c r="HV102" i="28"/>
  <c r="HW102" i="28"/>
  <c r="HX102" i="28"/>
  <c r="HY102" i="28"/>
  <c r="HZ102" i="28"/>
  <c r="IA102" i="28"/>
  <c r="IB102" i="28"/>
  <c r="IC102" i="28"/>
  <c r="ID102" i="28"/>
  <c r="IE102" i="28"/>
  <c r="IF102" i="28"/>
  <c r="IG102" i="28"/>
  <c r="IH102" i="28"/>
  <c r="II102" i="28"/>
  <c r="IJ102" i="28"/>
  <c r="IK102" i="28"/>
  <c r="IL102" i="28"/>
  <c r="IM102" i="28"/>
  <c r="IN102" i="28"/>
  <c r="IO102" i="28"/>
  <c r="IP102" i="28"/>
  <c r="IQ102" i="28"/>
  <c r="IR102" i="28"/>
  <c r="IS102" i="28"/>
  <c r="IT102" i="28"/>
  <c r="IU102" i="28"/>
  <c r="IV102" i="28"/>
  <c r="A101" i="28"/>
  <c r="B101" i="28"/>
  <c r="D101" i="28"/>
  <c r="E101" i="28"/>
  <c r="F101" i="28"/>
  <c r="G101" i="28"/>
  <c r="H101" i="28"/>
  <c r="I101" i="28"/>
  <c r="J101" i="28"/>
  <c r="K101" i="28"/>
  <c r="L101" i="28"/>
  <c r="M101" i="28"/>
  <c r="N101" i="28"/>
  <c r="O101" i="28"/>
  <c r="P101" i="28"/>
  <c r="Q101" i="28"/>
  <c r="R101" i="28"/>
  <c r="S101" i="28"/>
  <c r="T101" i="28"/>
  <c r="U101" i="28"/>
  <c r="V101" i="28"/>
  <c r="W101" i="28"/>
  <c r="X101" i="28"/>
  <c r="Y101" i="28"/>
  <c r="Z101" i="28"/>
  <c r="AA101" i="28"/>
  <c r="AB101" i="28"/>
  <c r="AC101" i="28"/>
  <c r="AD101" i="28"/>
  <c r="AE101" i="28"/>
  <c r="AF101" i="28"/>
  <c r="AG101" i="28"/>
  <c r="AH101" i="28"/>
  <c r="AI101" i="28"/>
  <c r="AJ101" i="28"/>
  <c r="AK101" i="28"/>
  <c r="AL101" i="28"/>
  <c r="AM101" i="28"/>
  <c r="AN101" i="28"/>
  <c r="AO101" i="28"/>
  <c r="AP101" i="28"/>
  <c r="AQ101" i="28"/>
  <c r="AR101" i="28"/>
  <c r="AS101" i="28"/>
  <c r="AT101" i="28"/>
  <c r="AU101" i="28"/>
  <c r="AV101" i="28"/>
  <c r="AW101" i="28"/>
  <c r="AX101" i="28"/>
  <c r="AY101" i="28"/>
  <c r="AZ101" i="28"/>
  <c r="BA101" i="28"/>
  <c r="BB101" i="28"/>
  <c r="BC101" i="28"/>
  <c r="BD101" i="28"/>
  <c r="BE101" i="28"/>
  <c r="BF101" i="28"/>
  <c r="BG101" i="28"/>
  <c r="BH101" i="28"/>
  <c r="BI101" i="28"/>
  <c r="BJ101" i="28"/>
  <c r="BK101" i="28"/>
  <c r="BL101" i="28"/>
  <c r="BM101" i="28"/>
  <c r="BN101" i="28"/>
  <c r="BO101" i="28"/>
  <c r="BP101" i="28"/>
  <c r="BQ101" i="28"/>
  <c r="BR101" i="28"/>
  <c r="BS101" i="28"/>
  <c r="BT101" i="28"/>
  <c r="BU101" i="28"/>
  <c r="BV101" i="28"/>
  <c r="BW101" i="28"/>
  <c r="BX101" i="28"/>
  <c r="BY101" i="28"/>
  <c r="BZ101" i="28"/>
  <c r="CA101" i="28"/>
  <c r="CB101" i="28"/>
  <c r="CC101" i="28"/>
  <c r="CD101" i="28"/>
  <c r="CE101" i="28"/>
  <c r="CF101" i="28"/>
  <c r="CG101" i="28"/>
  <c r="CH101" i="28"/>
  <c r="CI101" i="28"/>
  <c r="CJ101" i="28"/>
  <c r="CK101" i="28"/>
  <c r="CL101" i="28"/>
  <c r="CM101" i="28"/>
  <c r="CN101" i="28"/>
  <c r="CO101" i="28"/>
  <c r="CP101" i="28"/>
  <c r="CQ101" i="28"/>
  <c r="CR101" i="28"/>
  <c r="CS101" i="28"/>
  <c r="CT101" i="28"/>
  <c r="CU101" i="28"/>
  <c r="CV101" i="28"/>
  <c r="CW101" i="28"/>
  <c r="CX101" i="28"/>
  <c r="CY101" i="28"/>
  <c r="CZ101" i="28"/>
  <c r="DA101" i="28"/>
  <c r="DB101" i="28"/>
  <c r="DC101" i="28"/>
  <c r="DD101" i="28"/>
  <c r="DE101" i="28"/>
  <c r="DF101" i="28"/>
  <c r="DG101" i="28"/>
  <c r="DH101" i="28"/>
  <c r="DI101" i="28"/>
  <c r="DJ101" i="28"/>
  <c r="DK101" i="28"/>
  <c r="DL101" i="28"/>
  <c r="DM101" i="28"/>
  <c r="DN101" i="28"/>
  <c r="DO101" i="28"/>
  <c r="DP101" i="28"/>
  <c r="DQ101" i="28"/>
  <c r="DR101" i="28"/>
  <c r="DS101" i="28"/>
  <c r="DT101" i="28"/>
  <c r="DU101" i="28"/>
  <c r="DV101" i="28"/>
  <c r="DW101" i="28"/>
  <c r="DX101" i="28"/>
  <c r="DY101" i="28"/>
  <c r="DZ101" i="28"/>
  <c r="EA101" i="28"/>
  <c r="EB101" i="28"/>
  <c r="EC101" i="28"/>
  <c r="ED101" i="28"/>
  <c r="EE101" i="28"/>
  <c r="EF101" i="28"/>
  <c r="EG101" i="28"/>
  <c r="EH101" i="28"/>
  <c r="EI101" i="28"/>
  <c r="EJ101" i="28"/>
  <c r="EK101" i="28"/>
  <c r="EL101" i="28"/>
  <c r="EM101" i="28"/>
  <c r="EN101" i="28"/>
  <c r="EO101" i="28"/>
  <c r="EP101" i="28"/>
  <c r="EQ101" i="28"/>
  <c r="ER101" i="28"/>
  <c r="ES101" i="28"/>
  <c r="ET101" i="28"/>
  <c r="EU101" i="28"/>
  <c r="EV101" i="28"/>
  <c r="EW101" i="28"/>
  <c r="EX101" i="28"/>
  <c r="EY101" i="28"/>
  <c r="EZ101" i="28"/>
  <c r="FA101" i="28"/>
  <c r="FB101" i="28"/>
  <c r="FC101" i="28"/>
  <c r="FD101" i="28"/>
  <c r="FE101" i="28"/>
  <c r="FF101" i="28"/>
  <c r="FG101" i="28"/>
  <c r="FH101" i="28"/>
  <c r="FI101" i="28"/>
  <c r="FJ101" i="28"/>
  <c r="FK101" i="28"/>
  <c r="FL101" i="28"/>
  <c r="FM101" i="28"/>
  <c r="FN101" i="28"/>
  <c r="FO101" i="28"/>
  <c r="FP101" i="28"/>
  <c r="FQ101" i="28"/>
  <c r="FR101" i="28"/>
  <c r="FS101" i="28"/>
  <c r="FT101" i="28"/>
  <c r="FU101" i="28"/>
  <c r="FV101" i="28"/>
  <c r="FW101" i="28"/>
  <c r="FX101" i="28"/>
  <c r="FY101" i="28"/>
  <c r="FZ101" i="28"/>
  <c r="GA101" i="28"/>
  <c r="GB101" i="28"/>
  <c r="GC101" i="28"/>
  <c r="GD101" i="28"/>
  <c r="GE101" i="28"/>
  <c r="GF101" i="28"/>
  <c r="GG101" i="28"/>
  <c r="GH101" i="28"/>
  <c r="GI101" i="28"/>
  <c r="GJ101" i="28"/>
  <c r="GK101" i="28"/>
  <c r="GL101" i="28"/>
  <c r="GM101" i="28"/>
  <c r="GN101" i="28"/>
  <c r="GO101" i="28"/>
  <c r="GP101" i="28"/>
  <c r="GQ101" i="28"/>
  <c r="GR101" i="28"/>
  <c r="GS101" i="28"/>
  <c r="GT101" i="28"/>
  <c r="GU101" i="28"/>
  <c r="GV101" i="28"/>
  <c r="GW101" i="28"/>
  <c r="GX101" i="28"/>
  <c r="GY101" i="28"/>
  <c r="GZ101" i="28"/>
  <c r="HA101" i="28"/>
  <c r="HB101" i="28"/>
  <c r="HC101" i="28"/>
  <c r="HD101" i="28"/>
  <c r="HE101" i="28"/>
  <c r="HF101" i="28"/>
  <c r="HG101" i="28"/>
  <c r="HH101" i="28"/>
  <c r="HI101" i="28"/>
  <c r="HJ101" i="28"/>
  <c r="HK101" i="28"/>
  <c r="HL101" i="28"/>
  <c r="HM101" i="28"/>
  <c r="HN101" i="28"/>
  <c r="HO101" i="28"/>
  <c r="HP101" i="28"/>
  <c r="HQ101" i="28"/>
  <c r="HR101" i="28"/>
  <c r="HS101" i="28"/>
  <c r="HT101" i="28"/>
  <c r="HU101" i="28"/>
  <c r="HV101" i="28"/>
  <c r="HW101" i="28"/>
  <c r="HX101" i="28"/>
  <c r="HY101" i="28"/>
  <c r="HZ101" i="28"/>
  <c r="IA101" i="28"/>
  <c r="IB101" i="28"/>
  <c r="IC101" i="28"/>
  <c r="ID101" i="28"/>
  <c r="IE101" i="28"/>
  <c r="IF101" i="28"/>
  <c r="IG101" i="28"/>
  <c r="IH101" i="28"/>
  <c r="II101" i="28"/>
  <c r="IJ101" i="28"/>
  <c r="IK101" i="28"/>
  <c r="IL101" i="28"/>
  <c r="IM101" i="28"/>
  <c r="IN101" i="28"/>
  <c r="IO101" i="28"/>
  <c r="IP101" i="28"/>
  <c r="IQ101" i="28"/>
  <c r="IR101" i="28"/>
  <c r="IS101" i="28"/>
  <c r="IT101" i="28"/>
  <c r="IU101" i="28"/>
  <c r="IV101" i="28"/>
  <c r="A100" i="28"/>
  <c r="B100" i="28"/>
  <c r="C100" i="28"/>
  <c r="D100" i="28"/>
  <c r="E100" i="28"/>
  <c r="F100" i="28"/>
  <c r="G100" i="28"/>
  <c r="H100" i="28"/>
  <c r="I100" i="28"/>
  <c r="J100" i="28"/>
  <c r="K100" i="28"/>
  <c r="L100" i="28"/>
  <c r="M100" i="28"/>
  <c r="N100" i="28"/>
  <c r="O100" i="28"/>
  <c r="P100" i="28"/>
  <c r="Q100" i="28"/>
  <c r="R100" i="28"/>
  <c r="S100" i="28"/>
  <c r="T100" i="28"/>
  <c r="U100" i="28"/>
  <c r="V100" i="28"/>
  <c r="W100" i="28"/>
  <c r="X100" i="28"/>
  <c r="Y100" i="28"/>
  <c r="Z100" i="28"/>
  <c r="AA100" i="28"/>
  <c r="AB100" i="28"/>
  <c r="AC100" i="28"/>
  <c r="AD100" i="28"/>
  <c r="AE100" i="28"/>
  <c r="AF100" i="28"/>
  <c r="AG100" i="28"/>
  <c r="AH100" i="28"/>
  <c r="AI100" i="28"/>
  <c r="AJ100" i="28"/>
  <c r="AK100" i="28"/>
  <c r="AL100" i="28"/>
  <c r="AM100" i="28"/>
  <c r="AN100" i="28"/>
  <c r="AO100" i="28"/>
  <c r="AP100" i="28"/>
  <c r="AQ100" i="28"/>
  <c r="AW100" i="28"/>
  <c r="AX100" i="28"/>
  <c r="AY100" i="28"/>
  <c r="AZ100" i="28"/>
  <c r="BA100" i="28"/>
  <c r="BB100" i="28"/>
  <c r="BC100" i="28"/>
  <c r="BD100" i="28"/>
  <c r="BE100" i="28"/>
  <c r="BF100" i="28"/>
  <c r="BG100" i="28"/>
  <c r="BH100" i="28"/>
  <c r="BI100" i="28"/>
  <c r="BJ100" i="28"/>
  <c r="BK100" i="28"/>
  <c r="BL100" i="28"/>
  <c r="BM100" i="28"/>
  <c r="BN100" i="28"/>
  <c r="BO100" i="28"/>
  <c r="BP100" i="28"/>
  <c r="BQ100" i="28"/>
  <c r="BR100" i="28"/>
  <c r="BS100" i="28"/>
  <c r="BT100" i="28"/>
  <c r="BU100" i="28"/>
  <c r="BV100" i="28"/>
  <c r="BW100" i="28"/>
  <c r="BX100" i="28"/>
  <c r="BY100" i="28"/>
  <c r="BZ100" i="28"/>
  <c r="CA100" i="28"/>
  <c r="CB100" i="28"/>
  <c r="CC100" i="28"/>
  <c r="CD100" i="28"/>
  <c r="CE100" i="28"/>
  <c r="CF100" i="28"/>
  <c r="CG100" i="28"/>
  <c r="CH100" i="28"/>
  <c r="CI100" i="28"/>
  <c r="CJ100" i="28"/>
  <c r="CK100" i="28"/>
  <c r="CL100" i="28"/>
  <c r="CM100" i="28"/>
  <c r="CN100" i="28"/>
  <c r="CO100" i="28"/>
  <c r="CP100" i="28"/>
  <c r="CQ100" i="28"/>
  <c r="CR100" i="28"/>
  <c r="CS100" i="28"/>
  <c r="CT100" i="28"/>
  <c r="CU100" i="28"/>
  <c r="CV100" i="28"/>
  <c r="CW100" i="28"/>
  <c r="CX100" i="28"/>
  <c r="CY100" i="28"/>
  <c r="CZ100" i="28"/>
  <c r="DA100" i="28"/>
  <c r="DB100" i="28"/>
  <c r="DC100" i="28"/>
  <c r="DD100" i="28"/>
  <c r="DE100" i="28"/>
  <c r="DF100" i="28"/>
  <c r="DG100" i="28"/>
  <c r="DH100" i="28"/>
  <c r="DI100" i="28"/>
  <c r="DJ100" i="28"/>
  <c r="DK100" i="28"/>
  <c r="DL100" i="28"/>
  <c r="DM100" i="28"/>
  <c r="DN100" i="28"/>
  <c r="DO100" i="28"/>
  <c r="DP100" i="28"/>
  <c r="DQ100" i="28"/>
  <c r="DR100" i="28"/>
  <c r="DS100" i="28"/>
  <c r="DT100" i="28"/>
  <c r="DU100" i="28"/>
  <c r="DV100" i="28"/>
  <c r="DW100" i="28"/>
  <c r="DX100" i="28"/>
  <c r="DY100" i="28"/>
  <c r="DZ100" i="28"/>
  <c r="EA100" i="28"/>
  <c r="EB100" i="28"/>
  <c r="EC100" i="28"/>
  <c r="ED100" i="28"/>
  <c r="EE100" i="28"/>
  <c r="EF100" i="28"/>
  <c r="EG100" i="28"/>
  <c r="EH100" i="28"/>
  <c r="EI100" i="28"/>
  <c r="EJ100" i="28"/>
  <c r="EK100" i="28"/>
  <c r="EL100" i="28"/>
  <c r="EM100" i="28"/>
  <c r="EN100" i="28"/>
  <c r="EO100" i="28"/>
  <c r="EP100" i="28"/>
  <c r="EQ100" i="28"/>
  <c r="ER100" i="28"/>
  <c r="ES100" i="28"/>
  <c r="ET100" i="28"/>
  <c r="EU100" i="28"/>
  <c r="EV100" i="28"/>
  <c r="EW100" i="28"/>
  <c r="EX100" i="28"/>
  <c r="EY100" i="28"/>
  <c r="EZ100" i="28"/>
  <c r="FA100" i="28"/>
  <c r="FB100" i="28"/>
  <c r="FC100" i="28"/>
  <c r="FD100" i="28"/>
  <c r="FE100" i="28"/>
  <c r="FF100" i="28"/>
  <c r="FG100" i="28"/>
  <c r="FH100" i="28"/>
  <c r="FI100" i="28"/>
  <c r="FJ100" i="28"/>
  <c r="FK100" i="28"/>
  <c r="FL100" i="28"/>
  <c r="FM100" i="28"/>
  <c r="FN100" i="28"/>
  <c r="FO100" i="28"/>
  <c r="FP100" i="28"/>
  <c r="FQ100" i="28"/>
  <c r="FR100" i="28"/>
  <c r="FS100" i="28"/>
  <c r="FT100" i="28"/>
  <c r="FU100" i="28"/>
  <c r="FV100" i="28"/>
  <c r="FW100" i="28"/>
  <c r="FX100" i="28"/>
  <c r="FY100" i="28"/>
  <c r="FZ100" i="28"/>
  <c r="GA100" i="28"/>
  <c r="GB100" i="28"/>
  <c r="GC100" i="28"/>
  <c r="GD100" i="28"/>
  <c r="GE100" i="28"/>
  <c r="GF100" i="28"/>
  <c r="GG100" i="28"/>
  <c r="GH100" i="28"/>
  <c r="GI100" i="28"/>
  <c r="GJ100" i="28"/>
  <c r="GK100" i="28"/>
  <c r="GL100" i="28"/>
  <c r="GM100" i="28"/>
  <c r="GN100" i="28"/>
  <c r="GO100" i="28"/>
  <c r="GP100" i="28"/>
  <c r="GQ100" i="28"/>
  <c r="GR100" i="28"/>
  <c r="GS100" i="28"/>
  <c r="GT100" i="28"/>
  <c r="GU100" i="28"/>
  <c r="GV100" i="28"/>
  <c r="GW100" i="28"/>
  <c r="GX100" i="28"/>
  <c r="GY100" i="28"/>
  <c r="GZ100" i="28"/>
  <c r="HA100" i="28"/>
  <c r="HB100" i="28"/>
  <c r="HC100" i="28"/>
  <c r="HD100" i="28"/>
  <c r="HE100" i="28"/>
  <c r="HF100" i="28"/>
  <c r="HG100" i="28"/>
  <c r="HH100" i="28"/>
  <c r="HI100" i="28"/>
  <c r="HJ100" i="28"/>
  <c r="HK100" i="28"/>
  <c r="HL100" i="28"/>
  <c r="HM100" i="28"/>
  <c r="HN100" i="28"/>
  <c r="HO100" i="28"/>
  <c r="HP100" i="28"/>
  <c r="HQ100" i="28"/>
  <c r="HR100" i="28"/>
  <c r="HS100" i="28"/>
  <c r="HT100" i="28"/>
  <c r="HU100" i="28"/>
  <c r="HV100" i="28"/>
  <c r="HW100" i="28"/>
  <c r="HX100" i="28"/>
  <c r="HY100" i="28"/>
  <c r="HZ100" i="28"/>
  <c r="IA100" i="28"/>
  <c r="IB100" i="28"/>
  <c r="IC100" i="28"/>
  <c r="ID100" i="28"/>
  <c r="IE100" i="28"/>
  <c r="IF100" i="28"/>
  <c r="IG100" i="28"/>
  <c r="IH100" i="28"/>
  <c r="II100" i="28"/>
  <c r="IJ100" i="28"/>
  <c r="IK100" i="28"/>
  <c r="IL100" i="28"/>
  <c r="IM100" i="28"/>
  <c r="IN100" i="28"/>
  <c r="IO100" i="28"/>
  <c r="IP100" i="28"/>
  <c r="IQ100" i="28"/>
  <c r="IR100" i="28"/>
  <c r="IS100" i="28"/>
  <c r="IT100" i="28"/>
  <c r="IU100" i="28"/>
  <c r="IV100" i="28"/>
  <c r="A99" i="28"/>
  <c r="B99" i="28"/>
  <c r="C99" i="28"/>
  <c r="D99" i="28"/>
  <c r="F99" i="28"/>
  <c r="G99" i="28"/>
  <c r="H99" i="28"/>
  <c r="I99" i="28"/>
  <c r="J99" i="28"/>
  <c r="K99" i="28"/>
  <c r="L99" i="28"/>
  <c r="M99" i="28"/>
  <c r="N99" i="28"/>
  <c r="O99" i="28"/>
  <c r="P99" i="28"/>
  <c r="Q99" i="28"/>
  <c r="R99" i="28"/>
  <c r="S99" i="28"/>
  <c r="T99" i="28"/>
  <c r="U99" i="28"/>
  <c r="V99" i="28"/>
  <c r="W99" i="28"/>
  <c r="X99" i="28"/>
  <c r="Y99" i="28"/>
  <c r="Z99" i="28"/>
  <c r="AA99" i="28"/>
  <c r="AB99" i="28"/>
  <c r="AC99" i="28"/>
  <c r="AD99" i="28"/>
  <c r="AE99" i="28"/>
  <c r="AF99" i="28"/>
  <c r="AG99" i="28"/>
  <c r="AH99" i="28"/>
  <c r="AI99" i="28"/>
  <c r="AJ99" i="28"/>
  <c r="AK99" i="28"/>
  <c r="AL99" i="28"/>
  <c r="AM99" i="28"/>
  <c r="AN99" i="28"/>
  <c r="AO99" i="28"/>
  <c r="AP99" i="28"/>
  <c r="AQ99" i="28"/>
  <c r="AR99" i="28"/>
  <c r="AS99" i="28"/>
  <c r="AT99" i="28"/>
  <c r="AU99" i="28"/>
  <c r="AV99" i="28"/>
  <c r="AW99" i="28"/>
  <c r="AX99" i="28"/>
  <c r="AY99" i="28"/>
  <c r="AZ99" i="28"/>
  <c r="BA99" i="28"/>
  <c r="BB99" i="28"/>
  <c r="BC99" i="28"/>
  <c r="BD99" i="28"/>
  <c r="BE99" i="28"/>
  <c r="BF99" i="28"/>
  <c r="BG99" i="28"/>
  <c r="BH99" i="28"/>
  <c r="BI99" i="28"/>
  <c r="BJ99" i="28"/>
  <c r="BK99" i="28"/>
  <c r="BL99" i="28"/>
  <c r="BM99" i="28"/>
  <c r="BN99" i="28"/>
  <c r="BO99" i="28"/>
  <c r="BP99" i="28"/>
  <c r="BQ99" i="28"/>
  <c r="BR99" i="28"/>
  <c r="BS99" i="28"/>
  <c r="BT99" i="28"/>
  <c r="BU99" i="28"/>
  <c r="BV99" i="28"/>
  <c r="BW99" i="28"/>
  <c r="BX99" i="28"/>
  <c r="BY99" i="28"/>
  <c r="BZ99" i="28"/>
  <c r="CA99" i="28"/>
  <c r="CB99" i="28"/>
  <c r="CC99" i="28"/>
  <c r="CD99" i="28"/>
  <c r="CE99" i="28"/>
  <c r="CF99" i="28"/>
  <c r="CG99" i="28"/>
  <c r="CH99" i="28"/>
  <c r="CI99" i="28"/>
  <c r="CJ99" i="28"/>
  <c r="CK99" i="28"/>
  <c r="CL99" i="28"/>
  <c r="CM99" i="28"/>
  <c r="CN99" i="28"/>
  <c r="CO99" i="28"/>
  <c r="CP99" i="28"/>
  <c r="CQ99" i="28"/>
  <c r="CR99" i="28"/>
  <c r="CS99" i="28"/>
  <c r="CT99" i="28"/>
  <c r="CU99" i="28"/>
  <c r="CV99" i="28"/>
  <c r="CW99" i="28"/>
  <c r="CX99" i="28"/>
  <c r="CY99" i="28"/>
  <c r="CZ99" i="28"/>
  <c r="DA99" i="28"/>
  <c r="DB99" i="28"/>
  <c r="DC99" i="28"/>
  <c r="DD99" i="28"/>
  <c r="DE99" i="28"/>
  <c r="DF99" i="28"/>
  <c r="DG99" i="28"/>
  <c r="DH99" i="28"/>
  <c r="DI99" i="28"/>
  <c r="DJ99" i="28"/>
  <c r="DK99" i="28"/>
  <c r="DL99" i="28"/>
  <c r="DM99" i="28"/>
  <c r="DN99" i="28"/>
  <c r="DO99" i="28"/>
  <c r="DP99" i="28"/>
  <c r="DQ99" i="28"/>
  <c r="DR99" i="28"/>
  <c r="DS99" i="28"/>
  <c r="DT99" i="28"/>
  <c r="DU99" i="28"/>
  <c r="DV99" i="28"/>
  <c r="DW99" i="28"/>
  <c r="DX99" i="28"/>
  <c r="DY99" i="28"/>
  <c r="DZ99" i="28"/>
  <c r="EA99" i="28"/>
  <c r="EB99" i="28"/>
  <c r="EC99" i="28"/>
  <c r="ED99" i="28"/>
  <c r="EE99" i="28"/>
  <c r="EF99" i="28"/>
  <c r="EG99" i="28"/>
  <c r="EH99" i="28"/>
  <c r="EI99" i="28"/>
  <c r="EJ99" i="28"/>
  <c r="EK99" i="28"/>
  <c r="EL99" i="28"/>
  <c r="EM99" i="28"/>
  <c r="EN99" i="28"/>
  <c r="EO99" i="28"/>
  <c r="EP99" i="28"/>
  <c r="EQ99" i="28"/>
  <c r="ER99" i="28"/>
  <c r="ES99" i="28"/>
  <c r="ET99" i="28"/>
  <c r="EU99" i="28"/>
  <c r="EV99" i="28"/>
  <c r="EW99" i="28"/>
  <c r="EX99" i="28"/>
  <c r="EY99" i="28"/>
  <c r="EZ99" i="28"/>
  <c r="FA99" i="28"/>
  <c r="FB99" i="28"/>
  <c r="FC99" i="28"/>
  <c r="FD99" i="28"/>
  <c r="FE99" i="28"/>
  <c r="FF99" i="28"/>
  <c r="FG99" i="28"/>
  <c r="FH99" i="28"/>
  <c r="FI99" i="28"/>
  <c r="FJ99" i="28"/>
  <c r="FK99" i="28"/>
  <c r="FL99" i="28"/>
  <c r="FM99" i="28"/>
  <c r="FN99" i="28"/>
  <c r="FO99" i="28"/>
  <c r="FP99" i="28"/>
  <c r="FQ99" i="28"/>
  <c r="FR99" i="28"/>
  <c r="FS99" i="28"/>
  <c r="FT99" i="28"/>
  <c r="FU99" i="28"/>
  <c r="FV99" i="28"/>
  <c r="FW99" i="28"/>
  <c r="FX99" i="28"/>
  <c r="FY99" i="28"/>
  <c r="FZ99" i="28"/>
  <c r="GA99" i="28"/>
  <c r="GB99" i="28"/>
  <c r="GC99" i="28"/>
  <c r="GD99" i="28"/>
  <c r="GE99" i="28"/>
  <c r="GF99" i="28"/>
  <c r="GG99" i="28"/>
  <c r="GH99" i="28"/>
  <c r="GI99" i="28"/>
  <c r="GJ99" i="28"/>
  <c r="GK99" i="28"/>
  <c r="GL99" i="28"/>
  <c r="GM99" i="28"/>
  <c r="GN99" i="28"/>
  <c r="GO99" i="28"/>
  <c r="GP99" i="28"/>
  <c r="GQ99" i="28"/>
  <c r="GR99" i="28"/>
  <c r="GS99" i="28"/>
  <c r="GT99" i="28"/>
  <c r="GU99" i="28"/>
  <c r="GV99" i="28"/>
  <c r="GW99" i="28"/>
  <c r="GX99" i="28"/>
  <c r="GY99" i="28"/>
  <c r="GZ99" i="28"/>
  <c r="HA99" i="28"/>
  <c r="HB99" i="28"/>
  <c r="HC99" i="28"/>
  <c r="HD99" i="28"/>
  <c r="HE99" i="28"/>
  <c r="HF99" i="28"/>
  <c r="HG99" i="28"/>
  <c r="HH99" i="28"/>
  <c r="HI99" i="28"/>
  <c r="HJ99" i="28"/>
  <c r="HK99" i="28"/>
  <c r="HL99" i="28"/>
  <c r="HM99" i="28"/>
  <c r="HN99" i="28"/>
  <c r="HO99" i="28"/>
  <c r="HP99" i="28"/>
  <c r="HQ99" i="28"/>
  <c r="HR99" i="28"/>
  <c r="HS99" i="28"/>
  <c r="HT99" i="28"/>
  <c r="HU99" i="28"/>
  <c r="HV99" i="28"/>
  <c r="HW99" i="28"/>
  <c r="HX99" i="28"/>
  <c r="HY99" i="28"/>
  <c r="HZ99" i="28"/>
  <c r="IA99" i="28"/>
  <c r="IB99" i="28"/>
  <c r="IC99" i="28"/>
  <c r="ID99" i="28"/>
  <c r="IE99" i="28"/>
  <c r="IF99" i="28"/>
  <c r="IG99" i="28"/>
  <c r="IH99" i="28"/>
  <c r="II99" i="28"/>
  <c r="IJ99" i="28"/>
  <c r="IK99" i="28"/>
  <c r="IL99" i="28"/>
  <c r="IM99" i="28"/>
  <c r="IN99" i="28"/>
  <c r="IO99" i="28"/>
  <c r="IP99" i="28"/>
  <c r="IQ99" i="28"/>
  <c r="IR99" i="28"/>
  <c r="IS99" i="28"/>
  <c r="IT99" i="28"/>
  <c r="IU99" i="28"/>
  <c r="IV99" i="28"/>
  <c r="A98" i="28"/>
  <c r="C98" i="28"/>
  <c r="D98" i="28"/>
  <c r="E98" i="28"/>
  <c r="F98" i="28"/>
  <c r="G98" i="28"/>
  <c r="H98" i="28"/>
  <c r="I98" i="28"/>
  <c r="J98" i="28"/>
  <c r="K98" i="28"/>
  <c r="L98" i="28"/>
  <c r="M98" i="28"/>
  <c r="N98" i="28"/>
  <c r="O98" i="28"/>
  <c r="P98" i="28"/>
  <c r="Q98" i="28"/>
  <c r="R98" i="28"/>
  <c r="S98" i="28"/>
  <c r="T98" i="28"/>
  <c r="U98" i="28"/>
  <c r="V98" i="28"/>
  <c r="W98" i="28"/>
  <c r="X98" i="28"/>
  <c r="Y98" i="28"/>
  <c r="Z98" i="28"/>
  <c r="AA98" i="28"/>
  <c r="AB98" i="28"/>
  <c r="AC98" i="28"/>
  <c r="AD98" i="28"/>
  <c r="AE98" i="28"/>
  <c r="AF98" i="28"/>
  <c r="AG98" i="28"/>
  <c r="AH98" i="28"/>
  <c r="AI98" i="28"/>
  <c r="AJ98" i="28"/>
  <c r="AK98" i="28"/>
  <c r="AL98" i="28"/>
  <c r="AM98" i="28"/>
  <c r="AN98" i="28"/>
  <c r="AO98" i="28"/>
  <c r="AP98" i="28"/>
  <c r="AQ98" i="28"/>
  <c r="AR98" i="28"/>
  <c r="AS98" i="28"/>
  <c r="AT98" i="28"/>
  <c r="AU98" i="28"/>
  <c r="AV98" i="28"/>
  <c r="AW98" i="28"/>
  <c r="AX98" i="28"/>
  <c r="AY98" i="28"/>
  <c r="AZ98" i="28"/>
  <c r="BA98" i="28"/>
  <c r="BB98" i="28"/>
  <c r="BC98" i="28"/>
  <c r="BD98" i="28"/>
  <c r="BE98" i="28"/>
  <c r="BF98" i="28"/>
  <c r="BG98" i="28"/>
  <c r="BH98" i="28"/>
  <c r="BI98" i="28"/>
  <c r="BJ98" i="28"/>
  <c r="BK98" i="28"/>
  <c r="BL98" i="28"/>
  <c r="BM98" i="28"/>
  <c r="BN98" i="28"/>
  <c r="BO98" i="28"/>
  <c r="BP98" i="28"/>
  <c r="BQ98" i="28"/>
  <c r="BR98" i="28"/>
  <c r="BS98" i="28"/>
  <c r="BT98" i="28"/>
  <c r="BU98" i="28"/>
  <c r="BV98" i="28"/>
  <c r="BW98" i="28"/>
  <c r="BX98" i="28"/>
  <c r="BY98" i="28"/>
  <c r="BZ98" i="28"/>
  <c r="CA98" i="28"/>
  <c r="CB98" i="28"/>
  <c r="CC98" i="28"/>
  <c r="CD98" i="28"/>
  <c r="CE98" i="28"/>
  <c r="CF98" i="28"/>
  <c r="CG98" i="28"/>
  <c r="CH98" i="28"/>
  <c r="CI98" i="28"/>
  <c r="CJ98" i="28"/>
  <c r="CK98" i="28"/>
  <c r="CL98" i="28"/>
  <c r="CM98" i="28"/>
  <c r="CN98" i="28"/>
  <c r="CO98" i="28"/>
  <c r="CP98" i="28"/>
  <c r="CQ98" i="28"/>
  <c r="CR98" i="28"/>
  <c r="CS98" i="28"/>
  <c r="CT98" i="28"/>
  <c r="CU98" i="28"/>
  <c r="CV98" i="28"/>
  <c r="CW98" i="28"/>
  <c r="CX98" i="28"/>
  <c r="CY98" i="28"/>
  <c r="CZ98" i="28"/>
  <c r="DA98" i="28"/>
  <c r="DB98" i="28"/>
  <c r="DC98" i="28"/>
  <c r="DD98" i="28"/>
  <c r="DE98" i="28"/>
  <c r="DF98" i="28"/>
  <c r="DG98" i="28"/>
  <c r="DH98" i="28"/>
  <c r="DI98" i="28"/>
  <c r="DJ98" i="28"/>
  <c r="DK98" i="28"/>
  <c r="DL98" i="28"/>
  <c r="DM98" i="28"/>
  <c r="DN98" i="28"/>
  <c r="DO98" i="28"/>
  <c r="DP98" i="28"/>
  <c r="DQ98" i="28"/>
  <c r="DR98" i="28"/>
  <c r="DS98" i="28"/>
  <c r="DT98" i="28"/>
  <c r="DU98" i="28"/>
  <c r="DV98" i="28"/>
  <c r="DW98" i="28"/>
  <c r="DX98" i="28"/>
  <c r="DY98" i="28"/>
  <c r="DZ98" i="28"/>
  <c r="EA98" i="28"/>
  <c r="EB98" i="28"/>
  <c r="EC98" i="28"/>
  <c r="ED98" i="28"/>
  <c r="EE98" i="28"/>
  <c r="EF98" i="28"/>
  <c r="EG98" i="28"/>
  <c r="EH98" i="28"/>
  <c r="EI98" i="28"/>
  <c r="EJ98" i="28"/>
  <c r="EK98" i="28"/>
  <c r="EL98" i="28"/>
  <c r="EM98" i="28"/>
  <c r="EN98" i="28"/>
  <c r="EO98" i="28"/>
  <c r="EP98" i="28"/>
  <c r="EQ98" i="28"/>
  <c r="ER98" i="28"/>
  <c r="ES98" i="28"/>
  <c r="ET98" i="28"/>
  <c r="EU98" i="28"/>
  <c r="EV98" i="28"/>
  <c r="EW98" i="28"/>
  <c r="EX98" i="28"/>
  <c r="EY98" i="28"/>
  <c r="EZ98" i="28"/>
  <c r="FA98" i="28"/>
  <c r="FB98" i="28"/>
  <c r="FC98" i="28"/>
  <c r="FD98" i="28"/>
  <c r="FE98" i="28"/>
  <c r="FF98" i="28"/>
  <c r="FG98" i="28"/>
  <c r="FH98" i="28"/>
  <c r="FI98" i="28"/>
  <c r="FJ98" i="28"/>
  <c r="FK98" i="28"/>
  <c r="FL98" i="28"/>
  <c r="FM98" i="28"/>
  <c r="FN98" i="28"/>
  <c r="FO98" i="28"/>
  <c r="FP98" i="28"/>
  <c r="FQ98" i="28"/>
  <c r="FR98" i="28"/>
  <c r="FS98" i="28"/>
  <c r="FT98" i="28"/>
  <c r="FU98" i="28"/>
  <c r="FV98" i="28"/>
  <c r="FW98" i="28"/>
  <c r="FX98" i="28"/>
  <c r="FY98" i="28"/>
  <c r="FZ98" i="28"/>
  <c r="GA98" i="28"/>
  <c r="GB98" i="28"/>
  <c r="GC98" i="28"/>
  <c r="GD98" i="28"/>
  <c r="GE98" i="28"/>
  <c r="GF98" i="28"/>
  <c r="GG98" i="28"/>
  <c r="GH98" i="28"/>
  <c r="GI98" i="28"/>
  <c r="GJ98" i="28"/>
  <c r="GK98" i="28"/>
  <c r="GL98" i="28"/>
  <c r="GM98" i="28"/>
  <c r="GN98" i="28"/>
  <c r="GO98" i="28"/>
  <c r="GP98" i="28"/>
  <c r="GQ98" i="28"/>
  <c r="GR98" i="28"/>
  <c r="GS98" i="28"/>
  <c r="GT98" i="28"/>
  <c r="GU98" i="28"/>
  <c r="GV98" i="28"/>
  <c r="GW98" i="28"/>
  <c r="GX98" i="28"/>
  <c r="GY98" i="28"/>
  <c r="GZ98" i="28"/>
  <c r="HA98" i="28"/>
  <c r="HB98" i="28"/>
  <c r="HC98" i="28"/>
  <c r="HD98" i="28"/>
  <c r="HE98" i="28"/>
  <c r="HF98" i="28"/>
  <c r="HG98" i="28"/>
  <c r="HH98" i="28"/>
  <c r="HI98" i="28"/>
  <c r="HJ98" i="28"/>
  <c r="HK98" i="28"/>
  <c r="HL98" i="28"/>
  <c r="HM98" i="28"/>
  <c r="HN98" i="28"/>
  <c r="HO98" i="28"/>
  <c r="HP98" i="28"/>
  <c r="HQ98" i="28"/>
  <c r="HR98" i="28"/>
  <c r="HS98" i="28"/>
  <c r="HT98" i="28"/>
  <c r="HU98" i="28"/>
  <c r="HV98" i="28"/>
  <c r="HW98" i="28"/>
  <c r="HX98" i="28"/>
  <c r="HY98" i="28"/>
  <c r="HZ98" i="28"/>
  <c r="IA98" i="28"/>
  <c r="IB98" i="28"/>
  <c r="IC98" i="28"/>
  <c r="ID98" i="28"/>
  <c r="IE98" i="28"/>
  <c r="IF98" i="28"/>
  <c r="IG98" i="28"/>
  <c r="IH98" i="28"/>
  <c r="II98" i="28"/>
  <c r="IJ98" i="28"/>
  <c r="IK98" i="28"/>
  <c r="IL98" i="28"/>
  <c r="IM98" i="28"/>
  <c r="IN98" i="28"/>
  <c r="IO98" i="28"/>
  <c r="IP98" i="28"/>
  <c r="IQ98" i="28"/>
  <c r="IR98" i="28"/>
  <c r="IS98" i="28"/>
  <c r="IT98" i="28"/>
  <c r="IU98" i="28"/>
  <c r="IV98" i="28"/>
  <c r="A97" i="28"/>
  <c r="B97" i="28"/>
  <c r="C97" i="28"/>
  <c r="D97" i="28"/>
  <c r="E97" i="28"/>
  <c r="G97" i="28"/>
  <c r="H97" i="28"/>
  <c r="I97" i="28"/>
  <c r="J97" i="28"/>
  <c r="K97" i="28"/>
  <c r="L97" i="28"/>
  <c r="M97" i="28"/>
  <c r="N97" i="28"/>
  <c r="O97" i="28"/>
  <c r="P97" i="28"/>
  <c r="Q97" i="28"/>
  <c r="R97" i="28"/>
  <c r="S97" i="28"/>
  <c r="T97" i="28"/>
  <c r="U97" i="28"/>
  <c r="V97" i="28"/>
  <c r="W97" i="28"/>
  <c r="X97" i="28"/>
  <c r="Y97" i="28"/>
  <c r="Z97" i="28"/>
  <c r="AA97" i="28"/>
  <c r="AB97" i="28"/>
  <c r="AC97" i="28"/>
  <c r="AD97" i="28"/>
  <c r="AE97" i="28"/>
  <c r="AF97" i="28"/>
  <c r="AG97" i="28"/>
  <c r="AH97" i="28"/>
  <c r="AI97" i="28"/>
  <c r="AJ97" i="28"/>
  <c r="AK97" i="28"/>
  <c r="AL97" i="28"/>
  <c r="AM97" i="28"/>
  <c r="AN97" i="28"/>
  <c r="AO97" i="28"/>
  <c r="AP97" i="28"/>
  <c r="AQ97" i="28"/>
  <c r="AR97" i="28"/>
  <c r="AS97" i="28"/>
  <c r="AT97" i="28"/>
  <c r="AU97" i="28"/>
  <c r="AV97" i="28"/>
  <c r="AW97" i="28"/>
  <c r="AX97" i="28"/>
  <c r="AY97" i="28"/>
  <c r="AZ97" i="28"/>
  <c r="BA97" i="28"/>
  <c r="BB97" i="28"/>
  <c r="BC97" i="28"/>
  <c r="BD97" i="28"/>
  <c r="BE97" i="28"/>
  <c r="BF97" i="28"/>
  <c r="BG97" i="28"/>
  <c r="BH97" i="28"/>
  <c r="BI97" i="28"/>
  <c r="BJ97" i="28"/>
  <c r="BK97" i="28"/>
  <c r="BL97" i="28"/>
  <c r="BM97" i="28"/>
  <c r="BN97" i="28"/>
  <c r="BO97" i="28"/>
  <c r="BP97" i="28"/>
  <c r="BQ97" i="28"/>
  <c r="BR97" i="28"/>
  <c r="BS97" i="28"/>
  <c r="BT97" i="28"/>
  <c r="BU97" i="28"/>
  <c r="BV97" i="28"/>
  <c r="BW97" i="28"/>
  <c r="BX97" i="28"/>
  <c r="BY97" i="28"/>
  <c r="BZ97" i="28"/>
  <c r="CA97" i="28"/>
  <c r="CB97" i="28"/>
  <c r="CC97" i="28"/>
  <c r="CD97" i="28"/>
  <c r="CE97" i="28"/>
  <c r="CF97" i="28"/>
  <c r="CG97" i="28"/>
  <c r="CH97" i="28"/>
  <c r="CI97" i="28"/>
  <c r="CJ97" i="28"/>
  <c r="CK97" i="28"/>
  <c r="CL97" i="28"/>
  <c r="CM97" i="28"/>
  <c r="CN97" i="28"/>
  <c r="CO97" i="28"/>
  <c r="CP97" i="28"/>
  <c r="CQ97" i="28"/>
  <c r="CR97" i="28"/>
  <c r="CS97" i="28"/>
  <c r="CT97" i="28"/>
  <c r="CU97" i="28"/>
  <c r="CV97" i="28"/>
  <c r="CW97" i="28"/>
  <c r="CX97" i="28"/>
  <c r="CY97" i="28"/>
  <c r="CZ97" i="28"/>
  <c r="DA97" i="28"/>
  <c r="DB97" i="28"/>
  <c r="DC97" i="28"/>
  <c r="DD97" i="28"/>
  <c r="DE97" i="28"/>
  <c r="DF97" i="28"/>
  <c r="DG97" i="28"/>
  <c r="DH97" i="28"/>
  <c r="DI97" i="28"/>
  <c r="DJ97" i="28"/>
  <c r="DK97" i="28"/>
  <c r="DL97" i="28"/>
  <c r="DM97" i="28"/>
  <c r="DN97" i="28"/>
  <c r="DO97" i="28"/>
  <c r="DP97" i="28"/>
  <c r="DQ97" i="28"/>
  <c r="DR97" i="28"/>
  <c r="DS97" i="28"/>
  <c r="DT97" i="28"/>
  <c r="DU97" i="28"/>
  <c r="DV97" i="28"/>
  <c r="DW97" i="28"/>
  <c r="DX97" i="28"/>
  <c r="DY97" i="28"/>
  <c r="DZ97" i="28"/>
  <c r="EA97" i="28"/>
  <c r="EB97" i="28"/>
  <c r="EC97" i="28"/>
  <c r="ED97" i="28"/>
  <c r="EE97" i="28"/>
  <c r="EF97" i="28"/>
  <c r="EG97" i="28"/>
  <c r="EH97" i="28"/>
  <c r="EI97" i="28"/>
  <c r="EJ97" i="28"/>
  <c r="EK97" i="28"/>
  <c r="EL97" i="28"/>
  <c r="EM97" i="28"/>
  <c r="EN97" i="28"/>
  <c r="EO97" i="28"/>
  <c r="EP97" i="28"/>
  <c r="EQ97" i="28"/>
  <c r="ER97" i="28"/>
  <c r="ES97" i="28"/>
  <c r="ET97" i="28"/>
  <c r="EU97" i="28"/>
  <c r="EV97" i="28"/>
  <c r="EW97" i="28"/>
  <c r="EX97" i="28"/>
  <c r="EY97" i="28"/>
  <c r="EZ97" i="28"/>
  <c r="FA97" i="28"/>
  <c r="FB97" i="28"/>
  <c r="FC97" i="28"/>
  <c r="FD97" i="28"/>
  <c r="FE97" i="28"/>
  <c r="FF97" i="28"/>
  <c r="FG97" i="28"/>
  <c r="FH97" i="28"/>
  <c r="FI97" i="28"/>
  <c r="FJ97" i="28"/>
  <c r="FK97" i="28"/>
  <c r="FL97" i="28"/>
  <c r="FM97" i="28"/>
  <c r="FN97" i="28"/>
  <c r="FO97" i="28"/>
  <c r="FP97" i="28"/>
  <c r="FQ97" i="28"/>
  <c r="FR97" i="28"/>
  <c r="FS97" i="28"/>
  <c r="FT97" i="28"/>
  <c r="FU97" i="28"/>
  <c r="FV97" i="28"/>
  <c r="FW97" i="28"/>
  <c r="FX97" i="28"/>
  <c r="FY97" i="28"/>
  <c r="FZ97" i="28"/>
  <c r="GA97" i="28"/>
  <c r="GB97" i="28"/>
  <c r="GC97" i="28"/>
  <c r="GD97" i="28"/>
  <c r="GE97" i="28"/>
  <c r="GF97" i="28"/>
  <c r="GG97" i="28"/>
  <c r="GH97" i="28"/>
  <c r="GI97" i="28"/>
  <c r="GJ97" i="28"/>
  <c r="GK97" i="28"/>
  <c r="GL97" i="28"/>
  <c r="GM97" i="28"/>
  <c r="GN97" i="28"/>
  <c r="GO97" i="28"/>
  <c r="GP97" i="28"/>
  <c r="GQ97" i="28"/>
  <c r="GR97" i="28"/>
  <c r="GS97" i="28"/>
  <c r="GT97" i="28"/>
  <c r="GU97" i="28"/>
  <c r="GV97" i="28"/>
  <c r="GW97" i="28"/>
  <c r="GX97" i="28"/>
  <c r="GY97" i="28"/>
  <c r="GZ97" i="28"/>
  <c r="HA97" i="28"/>
  <c r="HB97" i="28"/>
  <c r="HC97" i="28"/>
  <c r="HD97" i="28"/>
  <c r="HE97" i="28"/>
  <c r="HF97" i="28"/>
  <c r="HG97" i="28"/>
  <c r="HH97" i="28"/>
  <c r="HI97" i="28"/>
  <c r="HJ97" i="28"/>
  <c r="HK97" i="28"/>
  <c r="HL97" i="28"/>
  <c r="HM97" i="28"/>
  <c r="HN97" i="28"/>
  <c r="HO97" i="28"/>
  <c r="HP97" i="28"/>
  <c r="HQ97" i="28"/>
  <c r="HR97" i="28"/>
  <c r="HS97" i="28"/>
  <c r="HT97" i="28"/>
  <c r="HU97" i="28"/>
  <c r="HV97" i="28"/>
  <c r="HW97" i="28"/>
  <c r="HX97" i="28"/>
  <c r="HY97" i="28"/>
  <c r="HZ97" i="28"/>
  <c r="IA97" i="28"/>
  <c r="IB97" i="28"/>
  <c r="IC97" i="28"/>
  <c r="ID97" i="28"/>
  <c r="IE97" i="28"/>
  <c r="IF97" i="28"/>
  <c r="IG97" i="28"/>
  <c r="IH97" i="28"/>
  <c r="II97" i="28"/>
  <c r="IJ97" i="28"/>
  <c r="IK97" i="28"/>
  <c r="IL97" i="28"/>
  <c r="IM97" i="28"/>
  <c r="IN97" i="28"/>
  <c r="IO97" i="28"/>
  <c r="IP97" i="28"/>
  <c r="IQ97" i="28"/>
  <c r="IR97" i="28"/>
  <c r="IS97" i="28"/>
  <c r="IT97" i="28"/>
  <c r="IU97" i="28"/>
  <c r="IV97" i="28"/>
  <c r="A96" i="28"/>
  <c r="B96" i="28"/>
  <c r="D96" i="28"/>
  <c r="E96" i="28"/>
  <c r="F96" i="28"/>
  <c r="G96" i="28"/>
  <c r="H96" i="28"/>
  <c r="I96" i="28"/>
  <c r="J96" i="28"/>
  <c r="K96" i="28"/>
  <c r="L96" i="28"/>
  <c r="M96" i="28"/>
  <c r="N96" i="28"/>
  <c r="O96" i="28"/>
  <c r="P96" i="28"/>
  <c r="Q96" i="28"/>
  <c r="R96" i="28"/>
  <c r="S96" i="28"/>
  <c r="T96" i="28"/>
  <c r="U96" i="28"/>
  <c r="V96" i="28"/>
  <c r="W96" i="28"/>
  <c r="X96" i="28"/>
  <c r="Y96" i="28"/>
  <c r="Z96" i="28"/>
  <c r="AA96" i="28"/>
  <c r="AB96" i="28"/>
  <c r="AC96" i="28"/>
  <c r="AD96" i="28"/>
  <c r="AE96" i="28"/>
  <c r="AF96" i="28"/>
  <c r="AG96" i="28"/>
  <c r="AH96" i="28"/>
  <c r="AI96" i="28"/>
  <c r="AJ96" i="28"/>
  <c r="AK96" i="28"/>
  <c r="AL96" i="28"/>
  <c r="AM96" i="28"/>
  <c r="AN96" i="28"/>
  <c r="AO96" i="28"/>
  <c r="AP96" i="28"/>
  <c r="AQ96" i="28"/>
  <c r="AR96" i="28"/>
  <c r="AS96" i="28"/>
  <c r="AT96" i="28"/>
  <c r="AU96" i="28"/>
  <c r="AV96" i="28"/>
  <c r="AW96" i="28"/>
  <c r="AX96" i="28"/>
  <c r="AY96" i="28"/>
  <c r="AZ96" i="28"/>
  <c r="BA96" i="28"/>
  <c r="BB96" i="28"/>
  <c r="BC96" i="28"/>
  <c r="BD96" i="28"/>
  <c r="BE96" i="28"/>
  <c r="BF96" i="28"/>
  <c r="BG96" i="28"/>
  <c r="BH96" i="28"/>
  <c r="BI96" i="28"/>
  <c r="BJ96" i="28"/>
  <c r="BK96" i="28"/>
  <c r="BL96" i="28"/>
  <c r="BM96" i="28"/>
  <c r="BN96" i="28"/>
  <c r="BO96" i="28"/>
  <c r="BP96" i="28"/>
  <c r="BQ96" i="28"/>
  <c r="BR96" i="28"/>
  <c r="BS96" i="28"/>
  <c r="BT96" i="28"/>
  <c r="BU96" i="28"/>
  <c r="BV96" i="28"/>
  <c r="BW96" i="28"/>
  <c r="BX96" i="28"/>
  <c r="BY96" i="28"/>
  <c r="BZ96" i="28"/>
  <c r="CA96" i="28"/>
  <c r="CB96" i="28"/>
  <c r="CC96" i="28"/>
  <c r="CD96" i="28"/>
  <c r="CE96" i="28"/>
  <c r="CF96" i="28"/>
  <c r="CG96" i="28"/>
  <c r="CH96" i="28"/>
  <c r="CI96" i="28"/>
  <c r="CJ96" i="28"/>
  <c r="CK96" i="28"/>
  <c r="CL96" i="28"/>
  <c r="CM96" i="28"/>
  <c r="CN96" i="28"/>
  <c r="CO96" i="28"/>
  <c r="CP96" i="28"/>
  <c r="CQ96" i="28"/>
  <c r="CR96" i="28"/>
  <c r="CS96" i="28"/>
  <c r="CT96" i="28"/>
  <c r="CU96" i="28"/>
  <c r="CV96" i="28"/>
  <c r="CW96" i="28"/>
  <c r="CX96" i="28"/>
  <c r="CY96" i="28"/>
  <c r="CZ96" i="28"/>
  <c r="DA96" i="28"/>
  <c r="DB96" i="28"/>
  <c r="DC96" i="28"/>
  <c r="DD96" i="28"/>
  <c r="DE96" i="28"/>
  <c r="DF96" i="28"/>
  <c r="DG96" i="28"/>
  <c r="DH96" i="28"/>
  <c r="DI96" i="28"/>
  <c r="DJ96" i="28"/>
  <c r="DK96" i="28"/>
  <c r="DL96" i="28"/>
  <c r="DM96" i="28"/>
  <c r="DN96" i="28"/>
  <c r="DO96" i="28"/>
  <c r="DP96" i="28"/>
  <c r="DQ96" i="28"/>
  <c r="DR96" i="28"/>
  <c r="DS96" i="28"/>
  <c r="DT96" i="28"/>
  <c r="DU96" i="28"/>
  <c r="DV96" i="28"/>
  <c r="DW96" i="28"/>
  <c r="DX96" i="28"/>
  <c r="DY96" i="28"/>
  <c r="DZ96" i="28"/>
  <c r="EA96" i="28"/>
  <c r="EB96" i="28"/>
  <c r="EC96" i="28"/>
  <c r="ED96" i="28"/>
  <c r="EE96" i="28"/>
  <c r="EF96" i="28"/>
  <c r="EG96" i="28"/>
  <c r="EH96" i="28"/>
  <c r="EI96" i="28"/>
  <c r="EJ96" i="28"/>
  <c r="EK96" i="28"/>
  <c r="EL96" i="28"/>
  <c r="EM96" i="28"/>
  <c r="EN96" i="28"/>
  <c r="EO96" i="28"/>
  <c r="EP96" i="28"/>
  <c r="EQ96" i="28"/>
  <c r="ER96" i="28"/>
  <c r="ES96" i="28"/>
  <c r="ET96" i="28"/>
  <c r="EU96" i="28"/>
  <c r="EV96" i="28"/>
  <c r="EW96" i="28"/>
  <c r="EX96" i="28"/>
  <c r="EY96" i="28"/>
  <c r="EZ96" i="28"/>
  <c r="FA96" i="28"/>
  <c r="FB96" i="28"/>
  <c r="FC96" i="28"/>
  <c r="FD96" i="28"/>
  <c r="FE96" i="28"/>
  <c r="FF96" i="28"/>
  <c r="FG96" i="28"/>
  <c r="FH96" i="28"/>
  <c r="FI96" i="28"/>
  <c r="FJ96" i="28"/>
  <c r="FK96" i="28"/>
  <c r="FL96" i="28"/>
  <c r="FM96" i="28"/>
  <c r="FN96" i="28"/>
  <c r="FO96" i="28"/>
  <c r="FP96" i="28"/>
  <c r="FQ96" i="28"/>
  <c r="FR96" i="28"/>
  <c r="FS96" i="28"/>
  <c r="FT96" i="28"/>
  <c r="FU96" i="28"/>
  <c r="FV96" i="28"/>
  <c r="FW96" i="28"/>
  <c r="FX96" i="28"/>
  <c r="FY96" i="28"/>
  <c r="FZ96" i="28"/>
  <c r="GA96" i="28"/>
  <c r="GB96" i="28"/>
  <c r="GC96" i="28"/>
  <c r="GD96" i="28"/>
  <c r="GE96" i="28"/>
  <c r="GF96" i="28"/>
  <c r="GG96" i="28"/>
  <c r="GH96" i="28"/>
  <c r="GI96" i="28"/>
  <c r="GJ96" i="28"/>
  <c r="GK96" i="28"/>
  <c r="GL96" i="28"/>
  <c r="GM96" i="28"/>
  <c r="GN96" i="28"/>
  <c r="GO96" i="28"/>
  <c r="GP96" i="28"/>
  <c r="GQ96" i="28"/>
  <c r="GR96" i="28"/>
  <c r="GS96" i="28"/>
  <c r="GT96" i="28"/>
  <c r="GU96" i="28"/>
  <c r="GV96" i="28"/>
  <c r="GW96" i="28"/>
  <c r="GX96" i="28"/>
  <c r="GY96" i="28"/>
  <c r="GZ96" i="28"/>
  <c r="HA96" i="28"/>
  <c r="HB96" i="28"/>
  <c r="HC96" i="28"/>
  <c r="HD96" i="28"/>
  <c r="HE96" i="28"/>
  <c r="HF96" i="28"/>
  <c r="HG96" i="28"/>
  <c r="HH96" i="28"/>
  <c r="HI96" i="28"/>
  <c r="HJ96" i="28"/>
  <c r="HK96" i="28"/>
  <c r="HL96" i="28"/>
  <c r="HM96" i="28"/>
  <c r="HN96" i="28"/>
  <c r="HO96" i="28"/>
  <c r="HP96" i="28"/>
  <c r="HQ96" i="28"/>
  <c r="HR96" i="28"/>
  <c r="HS96" i="28"/>
  <c r="HT96" i="28"/>
  <c r="HU96" i="28"/>
  <c r="HV96" i="28"/>
  <c r="HW96" i="28"/>
  <c r="HX96" i="28"/>
  <c r="HY96" i="28"/>
  <c r="HZ96" i="28"/>
  <c r="IA96" i="28"/>
  <c r="IB96" i="28"/>
  <c r="IC96" i="28"/>
  <c r="ID96" i="28"/>
  <c r="IE96" i="28"/>
  <c r="IF96" i="28"/>
  <c r="IG96" i="28"/>
  <c r="IH96" i="28"/>
  <c r="II96" i="28"/>
  <c r="IJ96" i="28"/>
  <c r="IK96" i="28"/>
  <c r="IL96" i="28"/>
  <c r="IM96" i="28"/>
  <c r="IN96" i="28"/>
  <c r="IO96" i="28"/>
  <c r="IP96" i="28"/>
  <c r="IQ96" i="28"/>
  <c r="IR96" i="28"/>
  <c r="IS96" i="28"/>
  <c r="IT96" i="28"/>
  <c r="IU96" i="28"/>
  <c r="IV96" i="28"/>
  <c r="A95" i="28"/>
  <c r="B95" i="28"/>
  <c r="C95" i="28"/>
  <c r="D95" i="28"/>
  <c r="E95" i="28"/>
  <c r="F95" i="28"/>
  <c r="G95" i="28"/>
  <c r="H95" i="28"/>
  <c r="I95" i="28"/>
  <c r="J95" i="28"/>
  <c r="K95" i="28"/>
  <c r="L95" i="28"/>
  <c r="M95" i="28"/>
  <c r="N95" i="28"/>
  <c r="O95" i="28"/>
  <c r="P95" i="28"/>
  <c r="Q95" i="28"/>
  <c r="R95" i="28"/>
  <c r="S95" i="28"/>
  <c r="T95" i="28"/>
  <c r="U95" i="28"/>
  <c r="V95" i="28"/>
  <c r="W95" i="28"/>
  <c r="X95" i="28"/>
  <c r="Y95" i="28"/>
  <c r="Z95" i="28"/>
  <c r="AA95" i="28"/>
  <c r="AB95" i="28"/>
  <c r="AC95" i="28"/>
  <c r="AD95" i="28"/>
  <c r="AE95" i="28"/>
  <c r="AF95" i="28"/>
  <c r="AG95" i="28"/>
  <c r="AH95" i="28"/>
  <c r="AI95" i="28"/>
  <c r="AJ95" i="28"/>
  <c r="AK95" i="28"/>
  <c r="AL95" i="28"/>
  <c r="AM95" i="28"/>
  <c r="AN95" i="28"/>
  <c r="AO95" i="28"/>
  <c r="AP95" i="28"/>
  <c r="AQ95" i="28"/>
  <c r="AR95" i="28"/>
  <c r="AS95" i="28"/>
  <c r="AT95" i="28"/>
  <c r="AU95" i="28"/>
  <c r="AV95" i="28"/>
  <c r="AW95" i="28"/>
  <c r="AX95" i="28"/>
  <c r="AY95" i="28"/>
  <c r="AZ95" i="28"/>
  <c r="BA95" i="28"/>
  <c r="BB95" i="28"/>
  <c r="BC95" i="28"/>
  <c r="BD95" i="28"/>
  <c r="BE95" i="28"/>
  <c r="BF95" i="28"/>
  <c r="BG95" i="28"/>
  <c r="BH95" i="28"/>
  <c r="BI95" i="28"/>
  <c r="BJ95" i="28"/>
  <c r="BK95" i="28"/>
  <c r="BL95" i="28"/>
  <c r="BM95" i="28"/>
  <c r="BN95" i="28"/>
  <c r="BO95" i="28"/>
  <c r="BP95" i="28"/>
  <c r="BQ95" i="28"/>
  <c r="BR95" i="28"/>
  <c r="BS95" i="28"/>
  <c r="BT95" i="28"/>
  <c r="BU95" i="28"/>
  <c r="BV95" i="28"/>
  <c r="BW95" i="28"/>
  <c r="BX95" i="28"/>
  <c r="BY95" i="28"/>
  <c r="BZ95" i="28"/>
  <c r="CA95" i="28"/>
  <c r="CB95" i="28"/>
  <c r="CC95" i="28"/>
  <c r="CD95" i="28"/>
  <c r="CE95" i="28"/>
  <c r="CF95" i="28"/>
  <c r="CG95" i="28"/>
  <c r="CH95" i="28"/>
  <c r="CI95" i="28"/>
  <c r="CJ95" i="28"/>
  <c r="CK95" i="28"/>
  <c r="CL95" i="28"/>
  <c r="CM95" i="28"/>
  <c r="CN95" i="28"/>
  <c r="CO95" i="28"/>
  <c r="CP95" i="28"/>
  <c r="CQ95" i="28"/>
  <c r="CR95" i="28"/>
  <c r="CS95" i="28"/>
  <c r="CT95" i="28"/>
  <c r="CU95" i="28"/>
  <c r="CV95" i="28"/>
  <c r="CW95" i="28"/>
  <c r="CX95" i="28"/>
  <c r="CY95" i="28"/>
  <c r="CZ95" i="28"/>
  <c r="DA95" i="28"/>
  <c r="DB95" i="28"/>
  <c r="DC95" i="28"/>
  <c r="DD95" i="28"/>
  <c r="DE95" i="28"/>
  <c r="DF95" i="28"/>
  <c r="DG95" i="28"/>
  <c r="DH95" i="28"/>
  <c r="DI95" i="28"/>
  <c r="DJ95" i="28"/>
  <c r="DK95" i="28"/>
  <c r="DL95" i="28"/>
  <c r="DM95" i="28"/>
  <c r="DN95" i="28"/>
  <c r="DO95" i="28"/>
  <c r="DP95" i="28"/>
  <c r="DQ95" i="28"/>
  <c r="DR95" i="28"/>
  <c r="DS95" i="28"/>
  <c r="DT95" i="28"/>
  <c r="DU95" i="28"/>
  <c r="DV95" i="28"/>
  <c r="DW95" i="28"/>
  <c r="DX95" i="28"/>
  <c r="DY95" i="28"/>
  <c r="DZ95" i="28"/>
  <c r="EA95" i="28"/>
  <c r="EB95" i="28"/>
  <c r="EC95" i="28"/>
  <c r="ED95" i="28"/>
  <c r="EE95" i="28"/>
  <c r="EF95" i="28"/>
  <c r="EG95" i="28"/>
  <c r="EH95" i="28"/>
  <c r="EI95" i="28"/>
  <c r="EJ95" i="28"/>
  <c r="EK95" i="28"/>
  <c r="EL95" i="28"/>
  <c r="EM95" i="28"/>
  <c r="EN95" i="28"/>
  <c r="EO95" i="28"/>
  <c r="EP95" i="28"/>
  <c r="EQ95" i="28"/>
  <c r="ER95" i="28"/>
  <c r="ES95" i="28"/>
  <c r="ET95" i="28"/>
  <c r="EU95" i="28"/>
  <c r="EV95" i="28"/>
  <c r="EW95" i="28"/>
  <c r="EX95" i="28"/>
  <c r="EY95" i="28"/>
  <c r="EZ95" i="28"/>
  <c r="FA95" i="28"/>
  <c r="FB95" i="28"/>
  <c r="FC95" i="28"/>
  <c r="FD95" i="28"/>
  <c r="FE95" i="28"/>
  <c r="FF95" i="28"/>
  <c r="FG95" i="28"/>
  <c r="FH95" i="28"/>
  <c r="FI95" i="28"/>
  <c r="FJ95" i="28"/>
  <c r="FK95" i="28"/>
  <c r="FL95" i="28"/>
  <c r="FM95" i="28"/>
  <c r="FN95" i="28"/>
  <c r="FO95" i="28"/>
  <c r="FP95" i="28"/>
  <c r="FQ95" i="28"/>
  <c r="FR95" i="28"/>
  <c r="FS95" i="28"/>
  <c r="FT95" i="28"/>
  <c r="FU95" i="28"/>
  <c r="FV95" i="28"/>
  <c r="FW95" i="28"/>
  <c r="FX95" i="28"/>
  <c r="FY95" i="28"/>
  <c r="FZ95" i="28"/>
  <c r="GA95" i="28"/>
  <c r="GB95" i="28"/>
  <c r="GC95" i="28"/>
  <c r="GD95" i="28"/>
  <c r="GE95" i="28"/>
  <c r="GF95" i="28"/>
  <c r="GG95" i="28"/>
  <c r="GH95" i="28"/>
  <c r="GI95" i="28"/>
  <c r="GJ95" i="28"/>
  <c r="GK95" i="28"/>
  <c r="GL95" i="28"/>
  <c r="GM95" i="28"/>
  <c r="GN95" i="28"/>
  <c r="GO95" i="28"/>
  <c r="GP95" i="28"/>
  <c r="GQ95" i="28"/>
  <c r="GR95" i="28"/>
  <c r="GS95" i="28"/>
  <c r="GT95" i="28"/>
  <c r="GU95" i="28"/>
  <c r="GV95" i="28"/>
  <c r="GW95" i="28"/>
  <c r="GX95" i="28"/>
  <c r="GY95" i="28"/>
  <c r="GZ95" i="28"/>
  <c r="HA95" i="28"/>
  <c r="HB95" i="28"/>
  <c r="HC95" i="28"/>
  <c r="HD95" i="28"/>
  <c r="HE95" i="28"/>
  <c r="HF95" i="28"/>
  <c r="HG95" i="28"/>
  <c r="HH95" i="28"/>
  <c r="HI95" i="28"/>
  <c r="HJ95" i="28"/>
  <c r="HK95" i="28"/>
  <c r="HL95" i="28"/>
  <c r="HM95" i="28"/>
  <c r="HN95" i="28"/>
  <c r="HO95" i="28"/>
  <c r="HP95" i="28"/>
  <c r="HQ95" i="28"/>
  <c r="HR95" i="28"/>
  <c r="HS95" i="28"/>
  <c r="HT95" i="28"/>
  <c r="HU95" i="28"/>
  <c r="HV95" i="28"/>
  <c r="HW95" i="28"/>
  <c r="HX95" i="28"/>
  <c r="HY95" i="28"/>
  <c r="HZ95" i="28"/>
  <c r="IA95" i="28"/>
  <c r="IB95" i="28"/>
  <c r="IC95" i="28"/>
  <c r="ID95" i="28"/>
  <c r="IE95" i="28"/>
  <c r="IF95" i="28"/>
  <c r="IG95" i="28"/>
  <c r="IH95" i="28"/>
  <c r="II95" i="28"/>
  <c r="IJ95" i="28"/>
  <c r="IK95" i="28"/>
  <c r="IL95" i="28"/>
  <c r="IM95" i="28"/>
  <c r="IN95" i="28"/>
  <c r="IO95" i="28"/>
  <c r="IP95" i="28"/>
  <c r="IQ95" i="28"/>
  <c r="IR95" i="28"/>
  <c r="IS95" i="28"/>
  <c r="IT95" i="28"/>
  <c r="IU95" i="28"/>
  <c r="IV95" i="28"/>
  <c r="A94" i="28"/>
  <c r="B94" i="28"/>
  <c r="C94" i="28"/>
  <c r="E94" i="28"/>
  <c r="F94" i="28"/>
  <c r="G94" i="28"/>
  <c r="H94" i="28"/>
  <c r="I94" i="28"/>
  <c r="J94" i="28"/>
  <c r="K94" i="28"/>
  <c r="L94" i="28"/>
  <c r="M94" i="28"/>
  <c r="N94" i="28"/>
  <c r="O94" i="28"/>
  <c r="P94" i="28"/>
  <c r="Q94" i="28"/>
  <c r="R94" i="28"/>
  <c r="S94" i="28"/>
  <c r="T94" i="28"/>
  <c r="U94" i="28"/>
  <c r="V94" i="28"/>
  <c r="W94" i="28"/>
  <c r="X94" i="28"/>
  <c r="Y94" i="28"/>
  <c r="Z94" i="28"/>
  <c r="AA94" i="28"/>
  <c r="AB94" i="28"/>
  <c r="AC94" i="28"/>
  <c r="AD94" i="28"/>
  <c r="AE94" i="28"/>
  <c r="AF94" i="28"/>
  <c r="AG94" i="28"/>
  <c r="AH94" i="28"/>
  <c r="AI94" i="28"/>
  <c r="AJ94" i="28"/>
  <c r="AK94" i="28"/>
  <c r="AL94" i="28"/>
  <c r="AM94" i="28"/>
  <c r="AN94" i="28"/>
  <c r="AO94" i="28"/>
  <c r="AP94" i="28"/>
  <c r="AQ94" i="28"/>
  <c r="AR94" i="28"/>
  <c r="AS94" i="28"/>
  <c r="AT94" i="28"/>
  <c r="AU94" i="28"/>
  <c r="AV94" i="28"/>
  <c r="AW94" i="28"/>
  <c r="AX94" i="28"/>
  <c r="AY94" i="28"/>
  <c r="AZ94" i="28"/>
  <c r="BA94" i="28"/>
  <c r="BB94" i="28"/>
  <c r="BC94" i="28"/>
  <c r="BD94" i="28"/>
  <c r="BE94" i="28"/>
  <c r="BF94" i="28"/>
  <c r="BG94" i="28"/>
  <c r="BH94" i="28"/>
  <c r="BI94" i="28"/>
  <c r="BJ94" i="28"/>
  <c r="BK94" i="28"/>
  <c r="BL94" i="28"/>
  <c r="BM94" i="28"/>
  <c r="BN94" i="28"/>
  <c r="BO94" i="28"/>
  <c r="BP94" i="28"/>
  <c r="BQ94" i="28"/>
  <c r="BR94" i="28"/>
  <c r="BS94" i="28"/>
  <c r="BT94" i="28"/>
  <c r="BU94" i="28"/>
  <c r="BV94" i="28"/>
  <c r="BW94" i="28"/>
  <c r="BX94" i="28"/>
  <c r="BY94" i="28"/>
  <c r="BZ94" i="28"/>
  <c r="CA94" i="28"/>
  <c r="CB94" i="28"/>
  <c r="CC94" i="28"/>
  <c r="CD94" i="28"/>
  <c r="CE94" i="28"/>
  <c r="CF94" i="28"/>
  <c r="CG94" i="28"/>
  <c r="CH94" i="28"/>
  <c r="CI94" i="28"/>
  <c r="CJ94" i="28"/>
  <c r="CK94" i="28"/>
  <c r="CL94" i="28"/>
  <c r="CM94" i="28"/>
  <c r="CN94" i="28"/>
  <c r="CO94" i="28"/>
  <c r="CP94" i="28"/>
  <c r="CQ94" i="28"/>
  <c r="CR94" i="28"/>
  <c r="CS94" i="28"/>
  <c r="CT94" i="28"/>
  <c r="CU94" i="28"/>
  <c r="CV94" i="28"/>
  <c r="CW94" i="28"/>
  <c r="CX94" i="28"/>
  <c r="CY94" i="28"/>
  <c r="CZ94" i="28"/>
  <c r="DA94" i="28"/>
  <c r="DB94" i="28"/>
  <c r="DC94" i="28"/>
  <c r="DD94" i="28"/>
  <c r="DE94" i="28"/>
  <c r="DF94" i="28"/>
  <c r="DG94" i="28"/>
  <c r="DH94" i="28"/>
  <c r="DI94" i="28"/>
  <c r="DJ94" i="28"/>
  <c r="DK94" i="28"/>
  <c r="DL94" i="28"/>
  <c r="DM94" i="28"/>
  <c r="DN94" i="28"/>
  <c r="DO94" i="28"/>
  <c r="DP94" i="28"/>
  <c r="DQ94" i="28"/>
  <c r="DR94" i="28"/>
  <c r="DS94" i="28"/>
  <c r="DT94" i="28"/>
  <c r="DU94" i="28"/>
  <c r="DV94" i="28"/>
  <c r="DW94" i="28"/>
  <c r="DX94" i="28"/>
  <c r="DY94" i="28"/>
  <c r="DZ94" i="28"/>
  <c r="EA94" i="28"/>
  <c r="EB94" i="28"/>
  <c r="EC94" i="28"/>
  <c r="ED94" i="28"/>
  <c r="EE94" i="28"/>
  <c r="EF94" i="28"/>
  <c r="EG94" i="28"/>
  <c r="EH94" i="28"/>
  <c r="EI94" i="28"/>
  <c r="EJ94" i="28"/>
  <c r="EK94" i="28"/>
  <c r="EL94" i="28"/>
  <c r="EM94" i="28"/>
  <c r="EN94" i="28"/>
  <c r="EO94" i="28"/>
  <c r="EP94" i="28"/>
  <c r="EQ94" i="28"/>
  <c r="ER94" i="28"/>
  <c r="ES94" i="28"/>
  <c r="ET94" i="28"/>
  <c r="EU94" i="28"/>
  <c r="EV94" i="28"/>
  <c r="EW94" i="28"/>
  <c r="EX94" i="28"/>
  <c r="EY94" i="28"/>
  <c r="EZ94" i="28"/>
  <c r="FA94" i="28"/>
  <c r="FB94" i="28"/>
  <c r="FC94" i="28"/>
  <c r="FD94" i="28"/>
  <c r="FE94" i="28"/>
  <c r="FF94" i="28"/>
  <c r="FG94" i="28"/>
  <c r="FH94" i="28"/>
  <c r="FI94" i="28"/>
  <c r="FJ94" i="28"/>
  <c r="FK94" i="28"/>
  <c r="FL94" i="28"/>
  <c r="FM94" i="28"/>
  <c r="FN94" i="28"/>
  <c r="FO94" i="28"/>
  <c r="FP94" i="28"/>
  <c r="FQ94" i="28"/>
  <c r="FR94" i="28"/>
  <c r="FS94" i="28"/>
  <c r="FT94" i="28"/>
  <c r="FU94" i="28"/>
  <c r="FV94" i="28"/>
  <c r="FW94" i="28"/>
  <c r="FX94" i="28"/>
  <c r="FY94" i="28"/>
  <c r="FZ94" i="28"/>
  <c r="GA94" i="28"/>
  <c r="GB94" i="28"/>
  <c r="GC94" i="28"/>
  <c r="GD94" i="28"/>
  <c r="GE94" i="28"/>
  <c r="GF94" i="28"/>
  <c r="GG94" i="28"/>
  <c r="GH94" i="28"/>
  <c r="GI94" i="28"/>
  <c r="GJ94" i="28"/>
  <c r="GK94" i="28"/>
  <c r="GL94" i="28"/>
  <c r="GM94" i="28"/>
  <c r="GN94" i="28"/>
  <c r="GO94" i="28"/>
  <c r="GP94" i="28"/>
  <c r="GQ94" i="28"/>
  <c r="GR94" i="28"/>
  <c r="GS94" i="28"/>
  <c r="GT94" i="28"/>
  <c r="GU94" i="28"/>
  <c r="GV94" i="28"/>
  <c r="GW94" i="28"/>
  <c r="GX94" i="28"/>
  <c r="GY94" i="28"/>
  <c r="GZ94" i="28"/>
  <c r="HA94" i="28"/>
  <c r="HB94" i="28"/>
  <c r="HC94" i="28"/>
  <c r="HD94" i="28"/>
  <c r="HE94" i="28"/>
  <c r="HF94" i="28"/>
  <c r="HG94" i="28"/>
  <c r="HH94" i="28"/>
  <c r="HI94" i="28"/>
  <c r="HJ94" i="28"/>
  <c r="HK94" i="28"/>
  <c r="HL94" i="28"/>
  <c r="HM94" i="28"/>
  <c r="HN94" i="28"/>
  <c r="HO94" i="28"/>
  <c r="HP94" i="28"/>
  <c r="HQ94" i="28"/>
  <c r="HR94" i="28"/>
  <c r="HS94" i="28"/>
  <c r="HT94" i="28"/>
  <c r="HU94" i="28"/>
  <c r="HV94" i="28"/>
  <c r="HW94" i="28"/>
  <c r="HX94" i="28"/>
  <c r="HY94" i="28"/>
  <c r="HZ94" i="28"/>
  <c r="IA94" i="28"/>
  <c r="IB94" i="28"/>
  <c r="IC94" i="28"/>
  <c r="ID94" i="28"/>
  <c r="IE94" i="28"/>
  <c r="IF94" i="28"/>
  <c r="IG94" i="28"/>
  <c r="IH94" i="28"/>
  <c r="II94" i="28"/>
  <c r="IJ94" i="28"/>
  <c r="IK94" i="28"/>
  <c r="IL94" i="28"/>
  <c r="IM94" i="28"/>
  <c r="IN94" i="28"/>
  <c r="IO94" i="28"/>
  <c r="IP94" i="28"/>
  <c r="IQ94" i="28"/>
  <c r="IR94" i="28"/>
  <c r="IS94" i="28"/>
  <c r="IT94" i="28"/>
  <c r="IU94" i="28"/>
  <c r="IV94" i="28"/>
  <c r="A93" i="28"/>
  <c r="B93" i="28"/>
  <c r="C93" i="28"/>
  <c r="D93" i="28"/>
  <c r="E93" i="28"/>
  <c r="F93" i="28"/>
  <c r="G93" i="28"/>
  <c r="H93" i="28"/>
  <c r="I93" i="28"/>
  <c r="O93" i="28"/>
  <c r="P93" i="28"/>
  <c r="Q93" i="28"/>
  <c r="R93" i="28"/>
  <c r="S93" i="28"/>
  <c r="T93" i="28"/>
  <c r="U93" i="28"/>
  <c r="V93" i="28"/>
  <c r="W93" i="28"/>
  <c r="X93" i="28"/>
  <c r="Y93" i="28"/>
  <c r="Z93" i="28"/>
  <c r="AA93" i="28"/>
  <c r="AB93" i="28"/>
  <c r="AC93" i="28"/>
  <c r="AD93" i="28"/>
  <c r="AE93" i="28"/>
  <c r="AF93" i="28"/>
  <c r="AG93" i="28"/>
  <c r="AH93" i="28"/>
  <c r="AI93" i="28"/>
  <c r="AJ93" i="28"/>
  <c r="AK93" i="28"/>
  <c r="AL93" i="28"/>
  <c r="AM93" i="28"/>
  <c r="AN93" i="28"/>
  <c r="AO93" i="28"/>
  <c r="AP93" i="28"/>
  <c r="AQ93" i="28"/>
  <c r="AR93" i="28"/>
  <c r="AS93" i="28"/>
  <c r="AT93" i="28"/>
  <c r="AU93" i="28"/>
  <c r="AV93" i="28"/>
  <c r="AW93" i="28"/>
  <c r="AX93" i="28"/>
  <c r="AY93" i="28"/>
  <c r="AZ93" i="28"/>
  <c r="BA93" i="28"/>
  <c r="BB93" i="28"/>
  <c r="BC93" i="28"/>
  <c r="BD93" i="28"/>
  <c r="BE93" i="28"/>
  <c r="BF93" i="28"/>
  <c r="BG93" i="28"/>
  <c r="BH93" i="28"/>
  <c r="BI93" i="28"/>
  <c r="BJ93" i="28"/>
  <c r="BK93" i="28"/>
  <c r="BL93" i="28"/>
  <c r="BM93" i="28"/>
  <c r="BN93" i="28"/>
  <c r="BO93" i="28"/>
  <c r="BP93" i="28"/>
  <c r="BQ93" i="28"/>
  <c r="BR93" i="28"/>
  <c r="BS93" i="28"/>
  <c r="BT93" i="28"/>
  <c r="BU93" i="28"/>
  <c r="BV93" i="28"/>
  <c r="BW93" i="28"/>
  <c r="BX93" i="28"/>
  <c r="BY93" i="28"/>
  <c r="BZ93" i="28"/>
  <c r="CA93" i="28"/>
  <c r="CB93" i="28"/>
  <c r="CC93" i="28"/>
  <c r="CD93" i="28"/>
  <c r="CE93" i="28"/>
  <c r="CF93" i="28"/>
  <c r="CG93" i="28"/>
  <c r="CH93" i="28"/>
  <c r="CI93" i="28"/>
  <c r="CJ93" i="28"/>
  <c r="CK93" i="28"/>
  <c r="CL93" i="28"/>
  <c r="CM93" i="28"/>
  <c r="CN93" i="28"/>
  <c r="CO93" i="28"/>
  <c r="CP93" i="28"/>
  <c r="CQ93" i="28"/>
  <c r="CR93" i="28"/>
  <c r="CS93" i="28"/>
  <c r="CT93" i="28"/>
  <c r="CU93" i="28"/>
  <c r="CV93" i="28"/>
  <c r="CW93" i="28"/>
  <c r="CX93" i="28"/>
  <c r="CY93" i="28"/>
  <c r="CZ93" i="28"/>
  <c r="DA93" i="28"/>
  <c r="DB93" i="28"/>
  <c r="DC93" i="28"/>
  <c r="DD93" i="28"/>
  <c r="DE93" i="28"/>
  <c r="DF93" i="28"/>
  <c r="DG93" i="28"/>
  <c r="DH93" i="28"/>
  <c r="DI93" i="28"/>
  <c r="DJ93" i="28"/>
  <c r="DK93" i="28"/>
  <c r="DL93" i="28"/>
  <c r="DM93" i="28"/>
  <c r="DN93" i="28"/>
  <c r="DO93" i="28"/>
  <c r="DP93" i="28"/>
  <c r="DQ93" i="28"/>
  <c r="DR93" i="28"/>
  <c r="DS93" i="28"/>
  <c r="DT93" i="28"/>
  <c r="DU93" i="28"/>
  <c r="DV93" i="28"/>
  <c r="DW93" i="28"/>
  <c r="DX93" i="28"/>
  <c r="DY93" i="28"/>
  <c r="DZ93" i="28"/>
  <c r="EA93" i="28"/>
  <c r="EB93" i="28"/>
  <c r="EC93" i="28"/>
  <c r="ED93" i="28"/>
  <c r="EE93" i="28"/>
  <c r="EF93" i="28"/>
  <c r="EG93" i="28"/>
  <c r="EH93" i="28"/>
  <c r="EI93" i="28"/>
  <c r="EJ93" i="28"/>
  <c r="EK93" i="28"/>
  <c r="EL93" i="28"/>
  <c r="EM93" i="28"/>
  <c r="EN93" i="28"/>
  <c r="EO93" i="28"/>
  <c r="EP93" i="28"/>
  <c r="EQ93" i="28"/>
  <c r="ER93" i="28"/>
  <c r="ES93" i="28"/>
  <c r="ET93" i="28"/>
  <c r="EU93" i="28"/>
  <c r="EV93" i="28"/>
  <c r="EW93" i="28"/>
  <c r="EX93" i="28"/>
  <c r="EY93" i="28"/>
  <c r="EZ93" i="28"/>
  <c r="FA93" i="28"/>
  <c r="FB93" i="28"/>
  <c r="FC93" i="28"/>
  <c r="FD93" i="28"/>
  <c r="FE93" i="28"/>
  <c r="FF93" i="28"/>
  <c r="FG93" i="28"/>
  <c r="FH93" i="28"/>
  <c r="FI93" i="28"/>
  <c r="FJ93" i="28"/>
  <c r="FK93" i="28"/>
  <c r="FL93" i="28"/>
  <c r="FM93" i="28"/>
  <c r="FN93" i="28"/>
  <c r="FO93" i="28"/>
  <c r="FP93" i="28"/>
  <c r="FQ93" i="28"/>
  <c r="FR93" i="28"/>
  <c r="FS93" i="28"/>
  <c r="FT93" i="28"/>
  <c r="FU93" i="28"/>
  <c r="FV93" i="28"/>
  <c r="FW93" i="28"/>
  <c r="FX93" i="28"/>
  <c r="FY93" i="28"/>
  <c r="FZ93" i="28"/>
  <c r="GA93" i="28"/>
  <c r="GB93" i="28"/>
  <c r="GC93" i="28"/>
  <c r="GD93" i="28"/>
  <c r="GE93" i="28"/>
  <c r="GF93" i="28"/>
  <c r="GG93" i="28"/>
  <c r="GH93" i="28"/>
  <c r="GI93" i="28"/>
  <c r="GJ93" i="28"/>
  <c r="GK93" i="28"/>
  <c r="GL93" i="28"/>
  <c r="GM93" i="28"/>
  <c r="GN93" i="28"/>
  <c r="GO93" i="28"/>
  <c r="GP93" i="28"/>
  <c r="GQ93" i="28"/>
  <c r="GR93" i="28"/>
  <c r="GS93" i="28"/>
  <c r="GT93" i="28"/>
  <c r="GU93" i="28"/>
  <c r="GV93" i="28"/>
  <c r="GW93" i="28"/>
  <c r="GX93" i="28"/>
  <c r="GY93" i="28"/>
  <c r="GZ93" i="28"/>
  <c r="HA93" i="28"/>
  <c r="HB93" i="28"/>
  <c r="HC93" i="28"/>
  <c r="HD93" i="28"/>
  <c r="HE93" i="28"/>
  <c r="HF93" i="28"/>
  <c r="HG93" i="28"/>
  <c r="HH93" i="28"/>
  <c r="HI93" i="28"/>
  <c r="HJ93" i="28"/>
  <c r="HK93" i="28"/>
  <c r="HL93" i="28"/>
  <c r="HM93" i="28"/>
  <c r="HN93" i="28"/>
  <c r="HO93" i="28"/>
  <c r="HP93" i="28"/>
  <c r="HQ93" i="28"/>
  <c r="HR93" i="28"/>
  <c r="HS93" i="28"/>
  <c r="HT93" i="28"/>
  <c r="HU93" i="28"/>
  <c r="HV93" i="28"/>
  <c r="HW93" i="28"/>
  <c r="HX93" i="28"/>
  <c r="HY93" i="28"/>
  <c r="HZ93" i="28"/>
  <c r="IA93" i="28"/>
  <c r="IB93" i="28"/>
  <c r="IC93" i="28"/>
  <c r="ID93" i="28"/>
  <c r="IE93" i="28"/>
  <c r="IF93" i="28"/>
  <c r="IG93" i="28"/>
  <c r="IH93" i="28"/>
  <c r="II93" i="28"/>
  <c r="IJ93" i="28"/>
  <c r="IK93" i="28"/>
  <c r="IL93" i="28"/>
  <c r="IM93" i="28"/>
  <c r="IN93" i="28"/>
  <c r="IO93" i="28"/>
  <c r="IP93" i="28"/>
  <c r="IQ93" i="28"/>
  <c r="IR93" i="28"/>
  <c r="IS93" i="28"/>
  <c r="IT93" i="28"/>
  <c r="IU93" i="28"/>
  <c r="IV93" i="28"/>
  <c r="A92" i="28"/>
  <c r="B92" i="28"/>
  <c r="C92" i="28"/>
  <c r="D92" i="28"/>
  <c r="E92" i="28"/>
  <c r="G92" i="28"/>
  <c r="H92" i="28"/>
  <c r="I92" i="28"/>
  <c r="J92" i="28"/>
  <c r="K92" i="28"/>
  <c r="L92" i="28"/>
  <c r="M92" i="28"/>
  <c r="N92" i="28"/>
  <c r="O92" i="28"/>
  <c r="P92" i="28"/>
  <c r="Q92" i="28"/>
  <c r="R92" i="28"/>
  <c r="S92" i="28"/>
  <c r="T92" i="28"/>
  <c r="U92" i="28"/>
  <c r="V92" i="28"/>
  <c r="W92" i="28"/>
  <c r="X92" i="28"/>
  <c r="Y92" i="28"/>
  <c r="Z92" i="28"/>
  <c r="AA92" i="28"/>
  <c r="AB92" i="28"/>
  <c r="AC92" i="28"/>
  <c r="AD92" i="28"/>
  <c r="AE92" i="28"/>
  <c r="AF92" i="28"/>
  <c r="AG92" i="28"/>
  <c r="AH92" i="28"/>
  <c r="AI92" i="28"/>
  <c r="AJ92" i="28"/>
  <c r="AK92" i="28"/>
  <c r="AL92" i="28"/>
  <c r="AM92" i="28"/>
  <c r="AN92" i="28"/>
  <c r="AO92" i="28"/>
  <c r="AP92" i="28"/>
  <c r="AQ92" i="28"/>
  <c r="AR92" i="28"/>
  <c r="AS92" i="28"/>
  <c r="AT92" i="28"/>
  <c r="AU92" i="28"/>
  <c r="AV92" i="28"/>
  <c r="AW92" i="28"/>
  <c r="AX92" i="28"/>
  <c r="AY92" i="28"/>
  <c r="AZ92" i="28"/>
  <c r="BA92" i="28"/>
  <c r="BB92" i="28"/>
  <c r="BC92" i="28"/>
  <c r="BD92" i="28"/>
  <c r="BE92" i="28"/>
  <c r="BF92" i="28"/>
  <c r="BG92" i="28"/>
  <c r="BH92" i="28"/>
  <c r="BI92" i="28"/>
  <c r="BJ92" i="28"/>
  <c r="BK92" i="28"/>
  <c r="BL92" i="28"/>
  <c r="BM92" i="28"/>
  <c r="BN92" i="28"/>
  <c r="BO92" i="28"/>
  <c r="BP92" i="28"/>
  <c r="BQ92" i="28"/>
  <c r="BR92" i="28"/>
  <c r="BS92" i="28"/>
  <c r="BT92" i="28"/>
  <c r="BU92" i="28"/>
  <c r="BV92" i="28"/>
  <c r="BW92" i="28"/>
  <c r="BX92" i="28"/>
  <c r="BY92" i="28"/>
  <c r="BZ92" i="28"/>
  <c r="CA92" i="28"/>
  <c r="CB92" i="28"/>
  <c r="CC92" i="28"/>
  <c r="CD92" i="28"/>
  <c r="CE92" i="28"/>
  <c r="CF92" i="28"/>
  <c r="CG92" i="28"/>
  <c r="CH92" i="28"/>
  <c r="CI92" i="28"/>
  <c r="CJ92" i="28"/>
  <c r="CK92" i="28"/>
  <c r="CL92" i="28"/>
  <c r="CM92" i="28"/>
  <c r="CN92" i="28"/>
  <c r="CO92" i="28"/>
  <c r="CP92" i="28"/>
  <c r="CQ92" i="28"/>
  <c r="CR92" i="28"/>
  <c r="CS92" i="28"/>
  <c r="CT92" i="28"/>
  <c r="CU92" i="28"/>
  <c r="CV92" i="28"/>
  <c r="CW92" i="28"/>
  <c r="CX92" i="28"/>
  <c r="CY92" i="28"/>
  <c r="CZ92" i="28"/>
  <c r="DA92" i="28"/>
  <c r="DB92" i="28"/>
  <c r="DC92" i="28"/>
  <c r="DD92" i="28"/>
  <c r="DE92" i="28"/>
  <c r="DF92" i="28"/>
  <c r="DG92" i="28"/>
  <c r="DH92" i="28"/>
  <c r="DI92" i="28"/>
  <c r="DJ92" i="28"/>
  <c r="DK92" i="28"/>
  <c r="DL92" i="28"/>
  <c r="DM92" i="28"/>
  <c r="DN92" i="28"/>
  <c r="DO92" i="28"/>
  <c r="DP92" i="28"/>
  <c r="DQ92" i="28"/>
  <c r="DR92" i="28"/>
  <c r="DS92" i="28"/>
  <c r="DT92" i="28"/>
  <c r="DU92" i="28"/>
  <c r="DV92" i="28"/>
  <c r="DW92" i="28"/>
  <c r="DX92" i="28"/>
  <c r="DY92" i="28"/>
  <c r="DZ92" i="28"/>
  <c r="EA92" i="28"/>
  <c r="EB92" i="28"/>
  <c r="EC92" i="28"/>
  <c r="ED92" i="28"/>
  <c r="EE92" i="28"/>
  <c r="EF92" i="28"/>
  <c r="EG92" i="28"/>
  <c r="EH92" i="28"/>
  <c r="EI92" i="28"/>
  <c r="EJ92" i="28"/>
  <c r="EK92" i="28"/>
  <c r="EL92" i="28"/>
  <c r="EM92" i="28"/>
  <c r="EN92" i="28"/>
  <c r="EO92" i="28"/>
  <c r="EP92" i="28"/>
  <c r="EQ92" i="28"/>
  <c r="ER92" i="28"/>
  <c r="ES92" i="28"/>
  <c r="ET92" i="28"/>
  <c r="EU92" i="28"/>
  <c r="EV92" i="28"/>
  <c r="EW92" i="28"/>
  <c r="EX92" i="28"/>
  <c r="EY92" i="28"/>
  <c r="EZ92" i="28"/>
  <c r="FA92" i="28"/>
  <c r="FB92" i="28"/>
  <c r="FC92" i="28"/>
  <c r="FD92" i="28"/>
  <c r="FE92" i="28"/>
  <c r="FF92" i="28"/>
  <c r="FG92" i="28"/>
  <c r="FH92" i="28"/>
  <c r="FI92" i="28"/>
  <c r="FJ92" i="28"/>
  <c r="FK92" i="28"/>
  <c r="FL92" i="28"/>
  <c r="FM92" i="28"/>
  <c r="FN92" i="28"/>
  <c r="FO92" i="28"/>
  <c r="FP92" i="28"/>
  <c r="FQ92" i="28"/>
  <c r="FR92" i="28"/>
  <c r="FS92" i="28"/>
  <c r="FT92" i="28"/>
  <c r="FU92" i="28"/>
  <c r="FV92" i="28"/>
  <c r="FW92" i="28"/>
  <c r="FX92" i="28"/>
  <c r="FY92" i="28"/>
  <c r="FZ92" i="28"/>
  <c r="GA92" i="28"/>
  <c r="GB92" i="28"/>
  <c r="GC92" i="28"/>
  <c r="GD92" i="28"/>
  <c r="GE92" i="28"/>
  <c r="GF92" i="28"/>
  <c r="GG92" i="28"/>
  <c r="GH92" i="28"/>
  <c r="GI92" i="28"/>
  <c r="GJ92" i="28"/>
  <c r="GK92" i="28"/>
  <c r="GL92" i="28"/>
  <c r="GM92" i="28"/>
  <c r="GN92" i="28"/>
  <c r="GO92" i="28"/>
  <c r="GP92" i="28"/>
  <c r="GQ92" i="28"/>
  <c r="GR92" i="28"/>
  <c r="GS92" i="28"/>
  <c r="GT92" i="28"/>
  <c r="GU92" i="28"/>
  <c r="GV92" i="28"/>
  <c r="GW92" i="28"/>
  <c r="GX92" i="28"/>
  <c r="GY92" i="28"/>
  <c r="GZ92" i="28"/>
  <c r="HA92" i="28"/>
  <c r="HB92" i="28"/>
  <c r="HC92" i="28"/>
  <c r="HD92" i="28"/>
  <c r="HE92" i="28"/>
  <c r="HF92" i="28"/>
  <c r="HG92" i="28"/>
  <c r="HH92" i="28"/>
  <c r="HI92" i="28"/>
  <c r="HJ92" i="28"/>
  <c r="HK92" i="28"/>
  <c r="HL92" i="28"/>
  <c r="HM92" i="28"/>
  <c r="HN92" i="28"/>
  <c r="HO92" i="28"/>
  <c r="HP92" i="28"/>
  <c r="HQ92" i="28"/>
  <c r="HR92" i="28"/>
  <c r="HS92" i="28"/>
  <c r="HT92" i="28"/>
  <c r="HU92" i="28"/>
  <c r="HV92" i="28"/>
  <c r="HW92" i="28"/>
  <c r="HX92" i="28"/>
  <c r="HY92" i="28"/>
  <c r="HZ92" i="28"/>
  <c r="IA92" i="28"/>
  <c r="IB92" i="28"/>
  <c r="IC92" i="28"/>
  <c r="ID92" i="28"/>
  <c r="IE92" i="28"/>
  <c r="IF92" i="28"/>
  <c r="IG92" i="28"/>
  <c r="IH92" i="28"/>
  <c r="II92" i="28"/>
  <c r="IJ92" i="28"/>
  <c r="IK92" i="28"/>
  <c r="IL92" i="28"/>
  <c r="IM92" i="28"/>
  <c r="IN92" i="28"/>
  <c r="IO92" i="28"/>
  <c r="IP92" i="28"/>
  <c r="IQ92" i="28"/>
  <c r="IR92" i="28"/>
  <c r="IS92" i="28"/>
  <c r="IT92" i="28"/>
  <c r="IU92" i="28"/>
  <c r="IV92" i="28"/>
  <c r="A91" i="28"/>
  <c r="B91" i="28"/>
  <c r="D91" i="28"/>
  <c r="E91" i="28"/>
  <c r="F91" i="28"/>
  <c r="G91" i="28"/>
  <c r="H91" i="28"/>
  <c r="I91" i="28"/>
  <c r="J91" i="28"/>
  <c r="K91" i="28"/>
  <c r="L91" i="28"/>
  <c r="M91" i="28"/>
  <c r="N91" i="28"/>
  <c r="O91" i="28"/>
  <c r="P91" i="28"/>
  <c r="Q91" i="28"/>
  <c r="R91" i="28"/>
  <c r="S91" i="28"/>
  <c r="T91" i="28"/>
  <c r="U91" i="28"/>
  <c r="V91" i="28"/>
  <c r="W91" i="28"/>
  <c r="X91" i="28"/>
  <c r="Y91" i="28"/>
  <c r="Z91" i="28"/>
  <c r="AA91" i="28"/>
  <c r="AB91" i="28"/>
  <c r="AC91" i="28"/>
  <c r="AD91" i="28"/>
  <c r="AE91" i="28"/>
  <c r="AF91" i="28"/>
  <c r="AG91" i="28"/>
  <c r="AH91" i="28"/>
  <c r="AI91" i="28"/>
  <c r="AJ91" i="28"/>
  <c r="AK91" i="28"/>
  <c r="AL91" i="28"/>
  <c r="AM91" i="28"/>
  <c r="AN91" i="28"/>
  <c r="AO91" i="28"/>
  <c r="AP91" i="28"/>
  <c r="AQ91" i="28"/>
  <c r="AR91" i="28"/>
  <c r="AS91" i="28"/>
  <c r="AT91" i="28"/>
  <c r="AU91" i="28"/>
  <c r="AV91" i="28"/>
  <c r="AW91" i="28"/>
  <c r="AX91" i="28"/>
  <c r="AY91" i="28"/>
  <c r="AZ91" i="28"/>
  <c r="BA91" i="28"/>
  <c r="BB91" i="28"/>
  <c r="BC91" i="28"/>
  <c r="BD91" i="28"/>
  <c r="BE91" i="28"/>
  <c r="BF91" i="28"/>
  <c r="BG91" i="28"/>
  <c r="BH91" i="28"/>
  <c r="BI91" i="28"/>
  <c r="BJ91" i="28"/>
  <c r="BK91" i="28"/>
  <c r="BL91" i="28"/>
  <c r="BM91" i="28"/>
  <c r="BN91" i="28"/>
  <c r="BO91" i="28"/>
  <c r="BP91" i="28"/>
  <c r="BQ91" i="28"/>
  <c r="BR91" i="28"/>
  <c r="BS91" i="28"/>
  <c r="BT91" i="28"/>
  <c r="BU91" i="28"/>
  <c r="BV91" i="28"/>
  <c r="BW91" i="28"/>
  <c r="BX91" i="28"/>
  <c r="BY91" i="28"/>
  <c r="BZ91" i="28"/>
  <c r="CA91" i="28"/>
  <c r="CB91" i="28"/>
  <c r="CC91" i="28"/>
  <c r="CD91" i="28"/>
  <c r="CE91" i="28"/>
  <c r="CF91" i="28"/>
  <c r="CG91" i="28"/>
  <c r="CH91" i="28"/>
  <c r="CI91" i="28"/>
  <c r="CJ91" i="28"/>
  <c r="CK91" i="28"/>
  <c r="CL91" i="28"/>
  <c r="CM91" i="28"/>
  <c r="CN91" i="28"/>
  <c r="CO91" i="28"/>
  <c r="CP91" i="28"/>
  <c r="CQ91" i="28"/>
  <c r="CR91" i="28"/>
  <c r="CS91" i="28"/>
  <c r="CT91" i="28"/>
  <c r="CU91" i="28"/>
  <c r="CV91" i="28"/>
  <c r="CW91" i="28"/>
  <c r="CX91" i="28"/>
  <c r="CY91" i="28"/>
  <c r="CZ91" i="28"/>
  <c r="DA91" i="28"/>
  <c r="DB91" i="28"/>
  <c r="DC91" i="28"/>
  <c r="DD91" i="28"/>
  <c r="DE91" i="28"/>
  <c r="DF91" i="28"/>
  <c r="DG91" i="28"/>
  <c r="DH91" i="28"/>
  <c r="DI91" i="28"/>
  <c r="DJ91" i="28"/>
  <c r="DK91" i="28"/>
  <c r="DL91" i="28"/>
  <c r="DM91" i="28"/>
  <c r="DN91" i="28"/>
  <c r="DO91" i="28"/>
  <c r="DP91" i="28"/>
  <c r="DQ91" i="28"/>
  <c r="DR91" i="28"/>
  <c r="DS91" i="28"/>
  <c r="DT91" i="28"/>
  <c r="DU91" i="28"/>
  <c r="DV91" i="28"/>
  <c r="DW91" i="28"/>
  <c r="DX91" i="28"/>
  <c r="DY91" i="28"/>
  <c r="DZ91" i="28"/>
  <c r="EA91" i="28"/>
  <c r="EB91" i="28"/>
  <c r="EC91" i="28"/>
  <c r="ED91" i="28"/>
  <c r="EE91" i="28"/>
  <c r="EF91" i="28"/>
  <c r="EG91" i="28"/>
  <c r="EH91" i="28"/>
  <c r="EI91" i="28"/>
  <c r="EJ91" i="28"/>
  <c r="EK91" i="28"/>
  <c r="EL91" i="28"/>
  <c r="EM91" i="28"/>
  <c r="EN91" i="28"/>
  <c r="EO91" i="28"/>
  <c r="EP91" i="28"/>
  <c r="EQ91" i="28"/>
  <c r="ER91" i="28"/>
  <c r="ES91" i="28"/>
  <c r="ET91" i="28"/>
  <c r="EU91" i="28"/>
  <c r="EV91" i="28"/>
  <c r="EW91" i="28"/>
  <c r="EX91" i="28"/>
  <c r="EY91" i="28"/>
  <c r="EZ91" i="28"/>
  <c r="FA91" i="28"/>
  <c r="FB91" i="28"/>
  <c r="FC91" i="28"/>
  <c r="FD91" i="28"/>
  <c r="FE91" i="28"/>
  <c r="FF91" i="28"/>
  <c r="FG91" i="28"/>
  <c r="FH91" i="28"/>
  <c r="FI91" i="28"/>
  <c r="FJ91" i="28"/>
  <c r="FK91" i="28"/>
  <c r="FL91" i="28"/>
  <c r="FM91" i="28"/>
  <c r="FN91" i="28"/>
  <c r="FO91" i="28"/>
  <c r="FP91" i="28"/>
  <c r="FQ91" i="28"/>
  <c r="FR91" i="28"/>
  <c r="FS91" i="28"/>
  <c r="FT91" i="28"/>
  <c r="FU91" i="28"/>
  <c r="FV91" i="28"/>
  <c r="FW91" i="28"/>
  <c r="FX91" i="28"/>
  <c r="FY91" i="28"/>
  <c r="FZ91" i="28"/>
  <c r="GA91" i="28"/>
  <c r="GB91" i="28"/>
  <c r="GC91" i="28"/>
  <c r="GD91" i="28"/>
  <c r="GE91" i="28"/>
  <c r="GF91" i="28"/>
  <c r="GG91" i="28"/>
  <c r="GH91" i="28"/>
  <c r="GI91" i="28"/>
  <c r="GJ91" i="28"/>
  <c r="GK91" i="28"/>
  <c r="GL91" i="28"/>
  <c r="GM91" i="28"/>
  <c r="GN91" i="28"/>
  <c r="GO91" i="28"/>
  <c r="GP91" i="28"/>
  <c r="GQ91" i="28"/>
  <c r="GR91" i="28"/>
  <c r="GS91" i="28"/>
  <c r="GT91" i="28"/>
  <c r="GU91" i="28"/>
  <c r="GV91" i="28"/>
  <c r="GW91" i="28"/>
  <c r="GX91" i="28"/>
  <c r="GY91" i="28"/>
  <c r="GZ91" i="28"/>
  <c r="HA91" i="28"/>
  <c r="HB91" i="28"/>
  <c r="HC91" i="28"/>
  <c r="HD91" i="28"/>
  <c r="HE91" i="28"/>
  <c r="HF91" i="28"/>
  <c r="HG91" i="28"/>
  <c r="HH91" i="28"/>
  <c r="HI91" i="28"/>
  <c r="HJ91" i="28"/>
  <c r="HK91" i="28"/>
  <c r="HL91" i="28"/>
  <c r="HM91" i="28"/>
  <c r="HN91" i="28"/>
  <c r="HO91" i="28"/>
  <c r="HP91" i="28"/>
  <c r="HQ91" i="28"/>
  <c r="HR91" i="28"/>
  <c r="HS91" i="28"/>
  <c r="HT91" i="28"/>
  <c r="HU91" i="28"/>
  <c r="HV91" i="28"/>
  <c r="HW91" i="28"/>
  <c r="HX91" i="28"/>
  <c r="HY91" i="28"/>
  <c r="HZ91" i="28"/>
  <c r="IA91" i="28"/>
  <c r="IB91" i="28"/>
  <c r="IC91" i="28"/>
  <c r="ID91" i="28"/>
  <c r="IE91" i="28"/>
  <c r="IF91" i="28"/>
  <c r="IG91" i="28"/>
  <c r="IH91" i="28"/>
  <c r="II91" i="28"/>
  <c r="IJ91" i="28"/>
  <c r="IK91" i="28"/>
  <c r="IL91" i="28"/>
  <c r="IM91" i="28"/>
  <c r="IN91" i="28"/>
  <c r="IO91" i="28"/>
  <c r="IP91" i="28"/>
  <c r="IQ91" i="28"/>
  <c r="IR91" i="28"/>
  <c r="IS91" i="28"/>
  <c r="IT91" i="28"/>
  <c r="IU91" i="28"/>
  <c r="IV91" i="28"/>
  <c r="A90" i="28"/>
  <c r="B90" i="28"/>
  <c r="C90" i="28"/>
  <c r="D90" i="28"/>
  <c r="E90" i="28"/>
  <c r="F90" i="28"/>
  <c r="G90" i="28"/>
  <c r="H90" i="28"/>
  <c r="I90" i="28"/>
  <c r="J90" i="28"/>
  <c r="K90" i="28"/>
  <c r="L90" i="28"/>
  <c r="M90" i="28"/>
  <c r="N90" i="28"/>
  <c r="O90" i="28"/>
  <c r="P90" i="28"/>
  <c r="Q90" i="28"/>
  <c r="R90" i="28"/>
  <c r="S90" i="28"/>
  <c r="T90" i="28"/>
  <c r="U90" i="28"/>
  <c r="V90" i="28"/>
  <c r="W90" i="28"/>
  <c r="X90" i="28"/>
  <c r="Y90" i="28"/>
  <c r="Z90" i="28"/>
  <c r="AA90" i="28"/>
  <c r="AB90" i="28"/>
  <c r="AC90" i="28"/>
  <c r="AD90" i="28"/>
  <c r="AE90" i="28"/>
  <c r="AF90" i="28"/>
  <c r="AG90" i="28"/>
  <c r="AH90" i="28"/>
  <c r="AI90" i="28"/>
  <c r="AJ90" i="28"/>
  <c r="AK90" i="28"/>
  <c r="AL90" i="28"/>
  <c r="AM90" i="28"/>
  <c r="AN90" i="28"/>
  <c r="AO90" i="28"/>
  <c r="AP90" i="28"/>
  <c r="AQ90" i="28"/>
  <c r="AR90" i="28"/>
  <c r="AS90" i="28"/>
  <c r="AT90" i="28"/>
  <c r="AU90" i="28"/>
  <c r="AV90" i="28"/>
  <c r="AW90" i="28"/>
  <c r="AX90" i="28"/>
  <c r="AY90" i="28"/>
  <c r="AZ90" i="28"/>
  <c r="BA90" i="28"/>
  <c r="BB90" i="28"/>
  <c r="BC90" i="28"/>
  <c r="BD90" i="28"/>
  <c r="BE90" i="28"/>
  <c r="BF90" i="28"/>
  <c r="BG90" i="28"/>
  <c r="BH90" i="28"/>
  <c r="BI90" i="28"/>
  <c r="BJ90" i="28"/>
  <c r="BK90" i="28"/>
  <c r="BL90" i="28"/>
  <c r="BM90" i="28"/>
  <c r="BN90" i="28"/>
  <c r="BO90" i="28"/>
  <c r="BP90" i="28"/>
  <c r="BQ90" i="28"/>
  <c r="BR90" i="28"/>
  <c r="BS90" i="28"/>
  <c r="BT90" i="28"/>
  <c r="BU90" i="28"/>
  <c r="BV90" i="28"/>
  <c r="BW90" i="28"/>
  <c r="BX90" i="28"/>
  <c r="BY90" i="28"/>
  <c r="BZ90" i="28"/>
  <c r="CA90" i="28"/>
  <c r="CB90" i="28"/>
  <c r="CC90" i="28"/>
  <c r="CD90" i="28"/>
  <c r="CE90" i="28"/>
  <c r="CF90" i="28"/>
  <c r="CG90" i="28"/>
  <c r="CH90" i="28"/>
  <c r="CI90" i="28"/>
  <c r="CJ90" i="28"/>
  <c r="CK90" i="28"/>
  <c r="CL90" i="28"/>
  <c r="CM90" i="28"/>
  <c r="CN90" i="28"/>
  <c r="CO90" i="28"/>
  <c r="CP90" i="28"/>
  <c r="CQ90" i="28"/>
  <c r="CR90" i="28"/>
  <c r="CS90" i="28"/>
  <c r="CT90" i="28"/>
  <c r="CU90" i="28"/>
  <c r="CV90" i="28"/>
  <c r="CW90" i="28"/>
  <c r="CX90" i="28"/>
  <c r="CY90" i="28"/>
  <c r="CZ90" i="28"/>
  <c r="DA90" i="28"/>
  <c r="DB90" i="28"/>
  <c r="DC90" i="28"/>
  <c r="DD90" i="28"/>
  <c r="DE90" i="28"/>
  <c r="DF90" i="28"/>
  <c r="DG90" i="28"/>
  <c r="DH90" i="28"/>
  <c r="DI90" i="28"/>
  <c r="DJ90" i="28"/>
  <c r="DK90" i="28"/>
  <c r="DL90" i="28"/>
  <c r="DM90" i="28"/>
  <c r="DN90" i="28"/>
  <c r="DO90" i="28"/>
  <c r="DP90" i="28"/>
  <c r="DQ90" i="28"/>
  <c r="DR90" i="28"/>
  <c r="DS90" i="28"/>
  <c r="DT90" i="28"/>
  <c r="DU90" i="28"/>
  <c r="DV90" i="28"/>
  <c r="DW90" i="28"/>
  <c r="DX90" i="28"/>
  <c r="DY90" i="28"/>
  <c r="DZ90" i="28"/>
  <c r="EA90" i="28"/>
  <c r="EB90" i="28"/>
  <c r="EC90" i="28"/>
  <c r="ED90" i="28"/>
  <c r="EE90" i="28"/>
  <c r="EF90" i="28"/>
  <c r="EG90" i="28"/>
  <c r="EH90" i="28"/>
  <c r="EI90" i="28"/>
  <c r="EJ90" i="28"/>
  <c r="EK90" i="28"/>
  <c r="EL90" i="28"/>
  <c r="EM90" i="28"/>
  <c r="EN90" i="28"/>
  <c r="EO90" i="28"/>
  <c r="EP90" i="28"/>
  <c r="EQ90" i="28"/>
  <c r="ER90" i="28"/>
  <c r="ES90" i="28"/>
  <c r="ET90" i="28"/>
  <c r="EU90" i="28"/>
  <c r="EV90" i="28"/>
  <c r="EW90" i="28"/>
  <c r="EX90" i="28"/>
  <c r="EY90" i="28"/>
  <c r="EZ90" i="28"/>
  <c r="FA90" i="28"/>
  <c r="FB90" i="28"/>
  <c r="FC90" i="28"/>
  <c r="FD90" i="28"/>
  <c r="FE90" i="28"/>
  <c r="FF90" i="28"/>
  <c r="FG90" i="28"/>
  <c r="FH90" i="28"/>
  <c r="FI90" i="28"/>
  <c r="FJ90" i="28"/>
  <c r="FK90" i="28"/>
  <c r="FL90" i="28"/>
  <c r="FM90" i="28"/>
  <c r="FN90" i="28"/>
  <c r="FO90" i="28"/>
  <c r="FP90" i="28"/>
  <c r="FQ90" i="28"/>
  <c r="FR90" i="28"/>
  <c r="FS90" i="28"/>
  <c r="FT90" i="28"/>
  <c r="FU90" i="28"/>
  <c r="FV90" i="28"/>
  <c r="FW90" i="28"/>
  <c r="FX90" i="28"/>
  <c r="FY90" i="28"/>
  <c r="FZ90" i="28"/>
  <c r="GA90" i="28"/>
  <c r="GB90" i="28"/>
  <c r="GC90" i="28"/>
  <c r="GD90" i="28"/>
  <c r="GE90" i="28"/>
  <c r="GF90" i="28"/>
  <c r="GG90" i="28"/>
  <c r="GH90" i="28"/>
  <c r="GI90" i="28"/>
  <c r="GJ90" i="28"/>
  <c r="GK90" i="28"/>
  <c r="GL90" i="28"/>
  <c r="GM90" i="28"/>
  <c r="GN90" i="28"/>
  <c r="GO90" i="28"/>
  <c r="GP90" i="28"/>
  <c r="GQ90" i="28"/>
  <c r="GR90" i="28"/>
  <c r="GS90" i="28"/>
  <c r="GT90" i="28"/>
  <c r="GU90" i="28"/>
  <c r="GV90" i="28"/>
  <c r="GW90" i="28"/>
  <c r="GX90" i="28"/>
  <c r="GY90" i="28"/>
  <c r="GZ90" i="28"/>
  <c r="HA90" i="28"/>
  <c r="HB90" i="28"/>
  <c r="HC90" i="28"/>
  <c r="HD90" i="28"/>
  <c r="HE90" i="28"/>
  <c r="HF90" i="28"/>
  <c r="HG90" i="28"/>
  <c r="HH90" i="28"/>
  <c r="HI90" i="28"/>
  <c r="HJ90" i="28"/>
  <c r="HK90" i="28"/>
  <c r="HL90" i="28"/>
  <c r="HM90" i="28"/>
  <c r="HN90" i="28"/>
  <c r="HO90" i="28"/>
  <c r="HP90" i="28"/>
  <c r="HQ90" i="28"/>
  <c r="HR90" i="28"/>
  <c r="HS90" i="28"/>
  <c r="HT90" i="28"/>
  <c r="HU90" i="28"/>
  <c r="HV90" i="28"/>
  <c r="HW90" i="28"/>
  <c r="HX90" i="28"/>
  <c r="HY90" i="28"/>
  <c r="HZ90" i="28"/>
  <c r="IA90" i="28"/>
  <c r="IB90" i="28"/>
  <c r="IC90" i="28"/>
  <c r="ID90" i="28"/>
  <c r="IE90" i="28"/>
  <c r="IF90" i="28"/>
  <c r="IG90" i="28"/>
  <c r="IH90" i="28"/>
  <c r="II90" i="28"/>
  <c r="IJ90" i="28"/>
  <c r="IK90" i="28"/>
  <c r="IL90" i="28"/>
  <c r="IM90" i="28"/>
  <c r="IN90" i="28"/>
  <c r="IO90" i="28"/>
  <c r="IP90" i="28"/>
  <c r="IQ90" i="28"/>
  <c r="IR90" i="28"/>
  <c r="IS90" i="28"/>
  <c r="IT90" i="28"/>
  <c r="IU90" i="28"/>
  <c r="IV90" i="28"/>
  <c r="A89" i="28"/>
  <c r="B89" i="28"/>
  <c r="C89" i="28"/>
  <c r="E89" i="28"/>
  <c r="F89" i="28"/>
  <c r="G89" i="28"/>
  <c r="H89" i="28"/>
  <c r="I89" i="28"/>
  <c r="J89" i="28"/>
  <c r="K89" i="28"/>
  <c r="L89" i="28"/>
  <c r="M89" i="28"/>
  <c r="N89" i="28"/>
  <c r="O89" i="28"/>
  <c r="P89" i="28"/>
  <c r="Q89" i="28"/>
  <c r="R89" i="28"/>
  <c r="S89" i="28"/>
  <c r="T89" i="28"/>
  <c r="U89" i="28"/>
  <c r="V89" i="28"/>
  <c r="W89" i="28"/>
  <c r="X89" i="28"/>
  <c r="Y89" i="28"/>
  <c r="Z89" i="28"/>
  <c r="AA89" i="28"/>
  <c r="AB89" i="28"/>
  <c r="AC89" i="28"/>
  <c r="AD89" i="28"/>
  <c r="AE89" i="28"/>
  <c r="AF89" i="28"/>
  <c r="AG89" i="28"/>
  <c r="AH89" i="28"/>
  <c r="AI89" i="28"/>
  <c r="AJ89" i="28"/>
  <c r="AK89" i="28"/>
  <c r="AL89" i="28"/>
  <c r="AM89" i="28"/>
  <c r="AN89" i="28"/>
  <c r="AO89" i="28"/>
  <c r="AP89" i="28"/>
  <c r="AQ89" i="28"/>
  <c r="AR89" i="28"/>
  <c r="AS89" i="28"/>
  <c r="AT89" i="28"/>
  <c r="AU89" i="28"/>
  <c r="AV89" i="28"/>
  <c r="AW89" i="28"/>
  <c r="AX89" i="28"/>
  <c r="AY89" i="28"/>
  <c r="AZ89" i="28"/>
  <c r="BA89" i="28"/>
  <c r="BB89" i="28"/>
  <c r="BC89" i="28"/>
  <c r="BD89" i="28"/>
  <c r="BE89" i="28"/>
  <c r="BF89" i="28"/>
  <c r="BG89" i="28"/>
  <c r="BH89" i="28"/>
  <c r="BI89" i="28"/>
  <c r="BJ89" i="28"/>
  <c r="BK89" i="28"/>
  <c r="BL89" i="28"/>
  <c r="BM89" i="28"/>
  <c r="BN89" i="28"/>
  <c r="BO89" i="28"/>
  <c r="BP89" i="28"/>
  <c r="BQ89" i="28"/>
  <c r="BR89" i="28"/>
  <c r="BS89" i="28"/>
  <c r="BT89" i="28"/>
  <c r="BU89" i="28"/>
  <c r="BV89" i="28"/>
  <c r="BW89" i="28"/>
  <c r="BX89" i="28"/>
  <c r="BY89" i="28"/>
  <c r="BZ89" i="28"/>
  <c r="CA89" i="28"/>
  <c r="CB89" i="28"/>
  <c r="CC89" i="28"/>
  <c r="CD89" i="28"/>
  <c r="CE89" i="28"/>
  <c r="CF89" i="28"/>
  <c r="CG89" i="28"/>
  <c r="CH89" i="28"/>
  <c r="CI89" i="28"/>
  <c r="CJ89" i="28"/>
  <c r="CK89" i="28"/>
  <c r="CL89" i="28"/>
  <c r="CM89" i="28"/>
  <c r="CN89" i="28"/>
  <c r="CO89" i="28"/>
  <c r="CP89" i="28"/>
  <c r="CQ89" i="28"/>
  <c r="CR89" i="28"/>
  <c r="CS89" i="28"/>
  <c r="CT89" i="28"/>
  <c r="CU89" i="28"/>
  <c r="CV89" i="28"/>
  <c r="CW89" i="28"/>
  <c r="CX89" i="28"/>
  <c r="CY89" i="28"/>
  <c r="CZ89" i="28"/>
  <c r="DA89" i="28"/>
  <c r="DB89" i="28"/>
  <c r="DC89" i="28"/>
  <c r="DD89" i="28"/>
  <c r="DE89" i="28"/>
  <c r="DF89" i="28"/>
  <c r="DG89" i="28"/>
  <c r="DH89" i="28"/>
  <c r="DI89" i="28"/>
  <c r="DJ89" i="28"/>
  <c r="DK89" i="28"/>
  <c r="DL89" i="28"/>
  <c r="DM89" i="28"/>
  <c r="DN89" i="28"/>
  <c r="DO89" i="28"/>
  <c r="DP89" i="28"/>
  <c r="DQ89" i="28"/>
  <c r="DR89" i="28"/>
  <c r="DS89" i="28"/>
  <c r="DT89" i="28"/>
  <c r="DU89" i="28"/>
  <c r="DV89" i="28"/>
  <c r="DW89" i="28"/>
  <c r="DX89" i="28"/>
  <c r="DY89" i="28"/>
  <c r="DZ89" i="28"/>
  <c r="EA89" i="28"/>
  <c r="EB89" i="28"/>
  <c r="EC89" i="28"/>
  <c r="ED89" i="28"/>
  <c r="EE89" i="28"/>
  <c r="EF89" i="28"/>
  <c r="EG89" i="28"/>
  <c r="EH89" i="28"/>
  <c r="EI89" i="28"/>
  <c r="EJ89" i="28"/>
  <c r="EK89" i="28"/>
  <c r="EL89" i="28"/>
  <c r="EM89" i="28"/>
  <c r="EN89" i="28"/>
  <c r="EO89" i="28"/>
  <c r="EP89" i="28"/>
  <c r="EQ89" i="28"/>
  <c r="ER89" i="28"/>
  <c r="ES89" i="28"/>
  <c r="ET89" i="28"/>
  <c r="EU89" i="28"/>
  <c r="EV89" i="28"/>
  <c r="EW89" i="28"/>
  <c r="EX89" i="28"/>
  <c r="EY89" i="28"/>
  <c r="EZ89" i="28"/>
  <c r="FA89" i="28"/>
  <c r="FB89" i="28"/>
  <c r="FC89" i="28"/>
  <c r="FD89" i="28"/>
  <c r="FE89" i="28"/>
  <c r="FF89" i="28"/>
  <c r="FG89" i="28"/>
  <c r="FH89" i="28"/>
  <c r="FI89" i="28"/>
  <c r="FJ89" i="28"/>
  <c r="FK89" i="28"/>
  <c r="FL89" i="28"/>
  <c r="FM89" i="28"/>
  <c r="FN89" i="28"/>
  <c r="FO89" i="28"/>
  <c r="FP89" i="28"/>
  <c r="FQ89" i="28"/>
  <c r="FR89" i="28"/>
  <c r="FS89" i="28"/>
  <c r="FT89" i="28"/>
  <c r="FU89" i="28"/>
  <c r="FV89" i="28"/>
  <c r="FW89" i="28"/>
  <c r="FX89" i="28"/>
  <c r="FY89" i="28"/>
  <c r="FZ89" i="28"/>
  <c r="GA89" i="28"/>
  <c r="GB89" i="28"/>
  <c r="GC89" i="28"/>
  <c r="GD89" i="28"/>
  <c r="GE89" i="28"/>
  <c r="GF89" i="28"/>
  <c r="GG89" i="28"/>
  <c r="GH89" i="28"/>
  <c r="GI89" i="28"/>
  <c r="GJ89" i="28"/>
  <c r="GK89" i="28"/>
  <c r="GL89" i="28"/>
  <c r="GM89" i="28"/>
  <c r="GN89" i="28"/>
  <c r="GO89" i="28"/>
  <c r="GP89" i="28"/>
  <c r="GQ89" i="28"/>
  <c r="GR89" i="28"/>
  <c r="GS89" i="28"/>
  <c r="GT89" i="28"/>
  <c r="GU89" i="28"/>
  <c r="GV89" i="28"/>
  <c r="GW89" i="28"/>
  <c r="GX89" i="28"/>
  <c r="GY89" i="28"/>
  <c r="GZ89" i="28"/>
  <c r="HA89" i="28"/>
  <c r="HB89" i="28"/>
  <c r="HC89" i="28"/>
  <c r="HD89" i="28"/>
  <c r="HE89" i="28"/>
  <c r="HF89" i="28"/>
  <c r="HG89" i="28"/>
  <c r="HH89" i="28"/>
  <c r="HI89" i="28"/>
  <c r="HJ89" i="28"/>
  <c r="HK89" i="28"/>
  <c r="HL89" i="28"/>
  <c r="HM89" i="28"/>
  <c r="HN89" i="28"/>
  <c r="HO89" i="28"/>
  <c r="HP89" i="28"/>
  <c r="HQ89" i="28"/>
  <c r="HR89" i="28"/>
  <c r="HS89" i="28"/>
  <c r="HT89" i="28"/>
  <c r="HU89" i="28"/>
  <c r="HV89" i="28"/>
  <c r="HW89" i="28"/>
  <c r="HX89" i="28"/>
  <c r="HY89" i="28"/>
  <c r="HZ89" i="28"/>
  <c r="IA89" i="28"/>
  <c r="IB89" i="28"/>
  <c r="IC89" i="28"/>
  <c r="ID89" i="28"/>
  <c r="IE89" i="28"/>
  <c r="IF89" i="28"/>
  <c r="IG89" i="28"/>
  <c r="IH89" i="28"/>
  <c r="II89" i="28"/>
  <c r="IJ89" i="28"/>
  <c r="IK89" i="28"/>
  <c r="IL89" i="28"/>
  <c r="IM89" i="28"/>
  <c r="IN89" i="28"/>
  <c r="IO89" i="28"/>
  <c r="IP89" i="28"/>
  <c r="IQ89" i="28"/>
  <c r="IR89" i="28"/>
  <c r="IS89" i="28"/>
  <c r="IT89" i="28"/>
  <c r="IU89" i="28"/>
  <c r="IV89" i="28"/>
  <c r="A88" i="28"/>
  <c r="B88" i="28"/>
  <c r="C88" i="28"/>
  <c r="D88" i="28"/>
  <c r="E88" i="28"/>
  <c r="F88" i="28"/>
  <c r="G88" i="28"/>
  <c r="H88" i="28"/>
  <c r="I88" i="28"/>
  <c r="J88" i="28"/>
  <c r="K88" i="28"/>
  <c r="L88" i="28"/>
  <c r="M88" i="28"/>
  <c r="N88" i="28"/>
  <c r="O88" i="28"/>
  <c r="P88" i="28"/>
  <c r="Q88" i="28"/>
  <c r="R88" i="28"/>
  <c r="S88" i="28"/>
  <c r="T88" i="28"/>
  <c r="U88" i="28"/>
  <c r="V88" i="28"/>
  <c r="W88" i="28"/>
  <c r="X88" i="28"/>
  <c r="Y88" i="28"/>
  <c r="Z88" i="28"/>
  <c r="AA88" i="28"/>
  <c r="AB88" i="28"/>
  <c r="AC88" i="28"/>
  <c r="AD88" i="28"/>
  <c r="AE88" i="28"/>
  <c r="AF88" i="28"/>
  <c r="AG88" i="28"/>
  <c r="AH88" i="28"/>
  <c r="AI88" i="28"/>
  <c r="AJ88" i="28"/>
  <c r="AK88" i="28"/>
  <c r="AL88" i="28"/>
  <c r="AM88" i="28"/>
  <c r="AN88" i="28"/>
  <c r="AO88" i="28"/>
  <c r="AP88" i="28"/>
  <c r="AQ88" i="28"/>
  <c r="AR88" i="28"/>
  <c r="AS88" i="28"/>
  <c r="AT88" i="28"/>
  <c r="AU88" i="28"/>
  <c r="AV88" i="28"/>
  <c r="AW88" i="28"/>
  <c r="AX88" i="28"/>
  <c r="AY88" i="28"/>
  <c r="AZ88" i="28"/>
  <c r="BA88" i="28"/>
  <c r="BB88" i="28"/>
  <c r="BC88" i="28"/>
  <c r="BD88" i="28"/>
  <c r="BE88" i="28"/>
  <c r="BF88" i="28"/>
  <c r="BG88" i="28"/>
  <c r="BH88" i="28"/>
  <c r="BI88" i="28"/>
  <c r="BJ88" i="28"/>
  <c r="BK88" i="28"/>
  <c r="BL88" i="28"/>
  <c r="BM88" i="28"/>
  <c r="BN88" i="28"/>
  <c r="BO88" i="28"/>
  <c r="BP88" i="28"/>
  <c r="BQ88" i="28"/>
  <c r="BR88" i="28"/>
  <c r="BS88" i="28"/>
  <c r="BT88" i="28"/>
  <c r="BU88" i="28"/>
  <c r="BV88" i="28"/>
  <c r="BW88" i="28"/>
  <c r="BX88" i="28"/>
  <c r="BY88" i="28"/>
  <c r="BZ88" i="28"/>
  <c r="CA88" i="28"/>
  <c r="CB88" i="28"/>
  <c r="CC88" i="28"/>
  <c r="CD88" i="28"/>
  <c r="CE88" i="28"/>
  <c r="CF88" i="28"/>
  <c r="CG88" i="28"/>
  <c r="CH88" i="28"/>
  <c r="CI88" i="28"/>
  <c r="CJ88" i="28"/>
  <c r="CK88" i="28"/>
  <c r="CL88" i="28"/>
  <c r="CM88" i="28"/>
  <c r="CN88" i="28"/>
  <c r="CO88" i="28"/>
  <c r="CP88" i="28"/>
  <c r="CQ88" i="28"/>
  <c r="CR88" i="28"/>
  <c r="CS88" i="28"/>
  <c r="CT88" i="28"/>
  <c r="CU88" i="28"/>
  <c r="CV88" i="28"/>
  <c r="CW88" i="28"/>
  <c r="CX88" i="28"/>
  <c r="CY88" i="28"/>
  <c r="CZ88" i="28"/>
  <c r="DA88" i="28"/>
  <c r="DB88" i="28"/>
  <c r="DC88" i="28"/>
  <c r="DD88" i="28"/>
  <c r="DE88" i="28"/>
  <c r="DF88" i="28"/>
  <c r="DG88" i="28"/>
  <c r="DH88" i="28"/>
  <c r="DI88" i="28"/>
  <c r="DJ88" i="28"/>
  <c r="DK88" i="28"/>
  <c r="DL88" i="28"/>
  <c r="DM88" i="28"/>
  <c r="DN88" i="28"/>
  <c r="DO88" i="28"/>
  <c r="DP88" i="28"/>
  <c r="DQ88" i="28"/>
  <c r="DR88" i="28"/>
  <c r="DS88" i="28"/>
  <c r="DT88" i="28"/>
  <c r="DU88" i="28"/>
  <c r="DV88" i="28"/>
  <c r="DW88" i="28"/>
  <c r="DX88" i="28"/>
  <c r="DY88" i="28"/>
  <c r="DZ88" i="28"/>
  <c r="EA88" i="28"/>
  <c r="EB88" i="28"/>
  <c r="EC88" i="28"/>
  <c r="ED88" i="28"/>
  <c r="EE88" i="28"/>
  <c r="EF88" i="28"/>
  <c r="EG88" i="28"/>
  <c r="EH88" i="28"/>
  <c r="EI88" i="28"/>
  <c r="EJ88" i="28"/>
  <c r="EK88" i="28"/>
  <c r="EL88" i="28"/>
  <c r="EM88" i="28"/>
  <c r="EN88" i="28"/>
  <c r="EO88" i="28"/>
  <c r="EP88" i="28"/>
  <c r="EQ88" i="28"/>
  <c r="ER88" i="28"/>
  <c r="ES88" i="28"/>
  <c r="ET88" i="28"/>
  <c r="EU88" i="28"/>
  <c r="EV88" i="28"/>
  <c r="EW88" i="28"/>
  <c r="EX88" i="28"/>
  <c r="EY88" i="28"/>
  <c r="EZ88" i="28"/>
  <c r="FA88" i="28"/>
  <c r="FB88" i="28"/>
  <c r="FC88" i="28"/>
  <c r="FD88" i="28"/>
  <c r="FE88" i="28"/>
  <c r="FF88" i="28"/>
  <c r="FG88" i="28"/>
  <c r="FH88" i="28"/>
  <c r="FI88" i="28"/>
  <c r="FJ88" i="28"/>
  <c r="FK88" i="28"/>
  <c r="FL88" i="28"/>
  <c r="FM88" i="28"/>
  <c r="FN88" i="28"/>
  <c r="FO88" i="28"/>
  <c r="FP88" i="28"/>
  <c r="FQ88" i="28"/>
  <c r="FR88" i="28"/>
  <c r="FS88" i="28"/>
  <c r="FT88" i="28"/>
  <c r="FU88" i="28"/>
  <c r="FV88" i="28"/>
  <c r="FW88" i="28"/>
  <c r="FX88" i="28"/>
  <c r="FY88" i="28"/>
  <c r="FZ88" i="28"/>
  <c r="GA88" i="28"/>
  <c r="GB88" i="28"/>
  <c r="GC88" i="28"/>
  <c r="GD88" i="28"/>
  <c r="GE88" i="28"/>
  <c r="GF88" i="28"/>
  <c r="GG88" i="28"/>
  <c r="GH88" i="28"/>
  <c r="GI88" i="28"/>
  <c r="GJ88" i="28"/>
  <c r="GK88" i="28"/>
  <c r="GL88" i="28"/>
  <c r="GM88" i="28"/>
  <c r="GN88" i="28"/>
  <c r="GO88" i="28"/>
  <c r="GP88" i="28"/>
  <c r="GQ88" i="28"/>
  <c r="GR88" i="28"/>
  <c r="GS88" i="28"/>
  <c r="GT88" i="28"/>
  <c r="GU88" i="28"/>
  <c r="GV88" i="28"/>
  <c r="GW88" i="28"/>
  <c r="GX88" i="28"/>
  <c r="GY88" i="28"/>
  <c r="GZ88" i="28"/>
  <c r="HA88" i="28"/>
  <c r="HB88" i="28"/>
  <c r="HC88" i="28"/>
  <c r="HD88" i="28"/>
  <c r="HE88" i="28"/>
  <c r="HF88" i="28"/>
  <c r="HG88" i="28"/>
  <c r="HH88" i="28"/>
  <c r="HI88" i="28"/>
  <c r="HJ88" i="28"/>
  <c r="HK88" i="28"/>
  <c r="HL88" i="28"/>
  <c r="HM88" i="28"/>
  <c r="HN88" i="28"/>
  <c r="HO88" i="28"/>
  <c r="HP88" i="28"/>
  <c r="HQ88" i="28"/>
  <c r="HR88" i="28"/>
  <c r="HS88" i="28"/>
  <c r="HT88" i="28"/>
  <c r="HU88" i="28"/>
  <c r="HV88" i="28"/>
  <c r="HW88" i="28"/>
  <c r="HX88" i="28"/>
  <c r="HY88" i="28"/>
  <c r="HZ88" i="28"/>
  <c r="IA88" i="28"/>
  <c r="IB88" i="28"/>
  <c r="IC88" i="28"/>
  <c r="ID88" i="28"/>
  <c r="IE88" i="28"/>
  <c r="IF88" i="28"/>
  <c r="IG88" i="28"/>
  <c r="IH88" i="28"/>
  <c r="II88" i="28"/>
  <c r="IJ88" i="28"/>
  <c r="IK88" i="28"/>
  <c r="IL88" i="28"/>
  <c r="IM88" i="28"/>
  <c r="IN88" i="28"/>
  <c r="IO88" i="28"/>
  <c r="IP88" i="28"/>
  <c r="IQ88" i="28"/>
  <c r="IR88" i="28"/>
  <c r="IS88" i="28"/>
  <c r="IT88" i="28"/>
  <c r="IU88" i="28"/>
  <c r="IV88" i="28"/>
  <c r="A87" i="28"/>
  <c r="B87" i="28"/>
  <c r="C87" i="28"/>
  <c r="D87" i="28"/>
  <c r="F87" i="28"/>
  <c r="G87" i="28"/>
  <c r="H87" i="28"/>
  <c r="I87" i="28"/>
  <c r="J87" i="28"/>
  <c r="K87" i="28"/>
  <c r="L87" i="28"/>
  <c r="M87" i="28"/>
  <c r="N87" i="28"/>
  <c r="O87" i="28"/>
  <c r="P87" i="28"/>
  <c r="Q87" i="28"/>
  <c r="R87" i="28"/>
  <c r="S87" i="28"/>
  <c r="T87" i="28"/>
  <c r="U87" i="28"/>
  <c r="V87" i="28"/>
  <c r="W87" i="28"/>
  <c r="X87" i="28"/>
  <c r="Y87" i="28"/>
  <c r="Z87" i="28"/>
  <c r="AA87" i="28"/>
  <c r="AB87" i="28"/>
  <c r="AC87" i="28"/>
  <c r="AD87" i="28"/>
  <c r="AE87" i="28"/>
  <c r="AF87" i="28"/>
  <c r="AG87" i="28"/>
  <c r="AH87" i="28"/>
  <c r="AI87" i="28"/>
  <c r="AJ87" i="28"/>
  <c r="AK87" i="28"/>
  <c r="AL87" i="28"/>
  <c r="AM87" i="28"/>
  <c r="AN87" i="28"/>
  <c r="AO87" i="28"/>
  <c r="AP87" i="28"/>
  <c r="AQ87" i="28"/>
  <c r="AR87" i="28"/>
  <c r="AS87" i="28"/>
  <c r="AT87" i="28"/>
  <c r="AU87" i="28"/>
  <c r="AV87" i="28"/>
  <c r="AW87" i="28"/>
  <c r="AX87" i="28"/>
  <c r="AY87" i="28"/>
  <c r="AZ87" i="28"/>
  <c r="BA87" i="28"/>
  <c r="BB87" i="28"/>
  <c r="BC87" i="28"/>
  <c r="BD87" i="28"/>
  <c r="BE87" i="28"/>
  <c r="BF87" i="28"/>
  <c r="BG87" i="28"/>
  <c r="BH87" i="28"/>
  <c r="BI87" i="28"/>
  <c r="BJ87" i="28"/>
  <c r="BK87" i="28"/>
  <c r="BL87" i="28"/>
  <c r="BM87" i="28"/>
  <c r="BN87" i="28"/>
  <c r="BO87" i="28"/>
  <c r="BP87" i="28"/>
  <c r="BQ87" i="28"/>
  <c r="BR87" i="28"/>
  <c r="BS87" i="28"/>
  <c r="BT87" i="28"/>
  <c r="BU87" i="28"/>
  <c r="BV87" i="28"/>
  <c r="BW87" i="28"/>
  <c r="BX87" i="28"/>
  <c r="BY87" i="28"/>
  <c r="BZ87" i="28"/>
  <c r="CA87" i="28"/>
  <c r="CB87" i="28"/>
  <c r="CC87" i="28"/>
  <c r="CD87" i="28"/>
  <c r="CE87" i="28"/>
  <c r="CF87" i="28"/>
  <c r="CG87" i="28"/>
  <c r="CH87" i="28"/>
  <c r="CI87" i="28"/>
  <c r="CJ87" i="28"/>
  <c r="CK87" i="28"/>
  <c r="CL87" i="28"/>
  <c r="CM87" i="28"/>
  <c r="CN87" i="28"/>
  <c r="CO87" i="28"/>
  <c r="CP87" i="28"/>
  <c r="CQ87" i="28"/>
  <c r="CR87" i="28"/>
  <c r="CS87" i="28"/>
  <c r="CT87" i="28"/>
  <c r="CU87" i="28"/>
  <c r="CV87" i="28"/>
  <c r="CW87" i="28"/>
  <c r="CX87" i="28"/>
  <c r="CY87" i="28"/>
  <c r="CZ87" i="28"/>
  <c r="DA87" i="28"/>
  <c r="DB87" i="28"/>
  <c r="DC87" i="28"/>
  <c r="DD87" i="28"/>
  <c r="DE87" i="28"/>
  <c r="DF87" i="28"/>
  <c r="DG87" i="28"/>
  <c r="DH87" i="28"/>
  <c r="DI87" i="28"/>
  <c r="DJ87" i="28"/>
  <c r="DK87" i="28"/>
  <c r="DL87" i="28"/>
  <c r="DM87" i="28"/>
  <c r="DN87" i="28"/>
  <c r="DO87" i="28"/>
  <c r="DP87" i="28"/>
  <c r="DQ87" i="28"/>
  <c r="DR87" i="28"/>
  <c r="DS87" i="28"/>
  <c r="DT87" i="28"/>
  <c r="DU87" i="28"/>
  <c r="DV87" i="28"/>
  <c r="DW87" i="28"/>
  <c r="DX87" i="28"/>
  <c r="DY87" i="28"/>
  <c r="DZ87" i="28"/>
  <c r="EA87" i="28"/>
  <c r="EB87" i="28"/>
  <c r="EC87" i="28"/>
  <c r="ED87" i="28"/>
  <c r="EE87" i="28"/>
  <c r="EF87" i="28"/>
  <c r="EG87" i="28"/>
  <c r="EH87" i="28"/>
  <c r="EI87" i="28"/>
  <c r="EJ87" i="28"/>
  <c r="EK87" i="28"/>
  <c r="EL87" i="28"/>
  <c r="EM87" i="28"/>
  <c r="EN87" i="28"/>
  <c r="EO87" i="28"/>
  <c r="EP87" i="28"/>
  <c r="EQ87" i="28"/>
  <c r="ER87" i="28"/>
  <c r="ES87" i="28"/>
  <c r="ET87" i="28"/>
  <c r="EU87" i="28"/>
  <c r="EV87" i="28"/>
  <c r="EW87" i="28"/>
  <c r="EX87" i="28"/>
  <c r="EY87" i="28"/>
  <c r="EZ87" i="28"/>
  <c r="FA87" i="28"/>
  <c r="FB87" i="28"/>
  <c r="FC87" i="28"/>
  <c r="FD87" i="28"/>
  <c r="FE87" i="28"/>
  <c r="FF87" i="28"/>
  <c r="FG87" i="28"/>
  <c r="FH87" i="28"/>
  <c r="FI87" i="28"/>
  <c r="FJ87" i="28"/>
  <c r="FK87" i="28"/>
  <c r="FL87" i="28"/>
  <c r="FM87" i="28"/>
  <c r="FN87" i="28"/>
  <c r="FO87" i="28"/>
  <c r="FP87" i="28"/>
  <c r="FQ87" i="28"/>
  <c r="FR87" i="28"/>
  <c r="FS87" i="28"/>
  <c r="FT87" i="28"/>
  <c r="FU87" i="28"/>
  <c r="FV87" i="28"/>
  <c r="FW87" i="28"/>
  <c r="FX87" i="28"/>
  <c r="FY87" i="28"/>
  <c r="FZ87" i="28"/>
  <c r="GA87" i="28"/>
  <c r="GB87" i="28"/>
  <c r="GC87" i="28"/>
  <c r="GD87" i="28"/>
  <c r="GE87" i="28"/>
  <c r="GF87" i="28"/>
  <c r="GG87" i="28"/>
  <c r="GH87" i="28"/>
  <c r="GI87" i="28"/>
  <c r="GJ87" i="28"/>
  <c r="GK87" i="28"/>
  <c r="GL87" i="28"/>
  <c r="GM87" i="28"/>
  <c r="GN87" i="28"/>
  <c r="GO87" i="28"/>
  <c r="GP87" i="28"/>
  <c r="GQ87" i="28"/>
  <c r="GR87" i="28"/>
  <c r="GS87" i="28"/>
  <c r="GT87" i="28"/>
  <c r="GU87" i="28"/>
  <c r="GV87" i="28"/>
  <c r="GW87" i="28"/>
  <c r="GX87" i="28"/>
  <c r="GY87" i="28"/>
  <c r="GZ87" i="28"/>
  <c r="HA87" i="28"/>
  <c r="HB87" i="28"/>
  <c r="HC87" i="28"/>
  <c r="HD87" i="28"/>
  <c r="HE87" i="28"/>
  <c r="HF87" i="28"/>
  <c r="HG87" i="28"/>
  <c r="HH87" i="28"/>
  <c r="HI87" i="28"/>
  <c r="HJ87" i="28"/>
  <c r="HK87" i="28"/>
  <c r="HL87" i="28"/>
  <c r="HM87" i="28"/>
  <c r="HN87" i="28"/>
  <c r="HO87" i="28"/>
  <c r="HP87" i="28"/>
  <c r="HQ87" i="28"/>
  <c r="HR87" i="28"/>
  <c r="HS87" i="28"/>
  <c r="HT87" i="28"/>
  <c r="HU87" i="28"/>
  <c r="HV87" i="28"/>
  <c r="HW87" i="28"/>
  <c r="HX87" i="28"/>
  <c r="HY87" i="28"/>
  <c r="HZ87" i="28"/>
  <c r="IA87" i="28"/>
  <c r="IB87" i="28"/>
  <c r="IC87" i="28"/>
  <c r="ID87" i="28"/>
  <c r="IE87" i="28"/>
  <c r="IF87" i="28"/>
  <c r="IG87" i="28"/>
  <c r="IH87" i="28"/>
  <c r="II87" i="28"/>
  <c r="IJ87" i="28"/>
  <c r="IK87" i="28"/>
  <c r="IL87" i="28"/>
  <c r="IM87" i="28"/>
  <c r="IN87" i="28"/>
  <c r="IO87" i="28"/>
  <c r="IP87" i="28"/>
  <c r="IQ87" i="28"/>
  <c r="IR87" i="28"/>
  <c r="IS87" i="28"/>
  <c r="IT87" i="28"/>
  <c r="IU87" i="28"/>
  <c r="IV87" i="28"/>
  <c r="A86" i="28"/>
  <c r="C86" i="28"/>
  <c r="D86" i="28"/>
  <c r="E86" i="28"/>
  <c r="F86" i="28"/>
  <c r="G86" i="28"/>
  <c r="H86" i="28"/>
  <c r="I86" i="28"/>
  <c r="J86" i="28"/>
  <c r="K86" i="28"/>
  <c r="L86" i="28"/>
  <c r="M86" i="28"/>
  <c r="N86" i="28"/>
  <c r="O86" i="28"/>
  <c r="P86" i="28"/>
  <c r="Q86" i="28"/>
  <c r="R86" i="28"/>
  <c r="S86" i="28"/>
  <c r="T86" i="28"/>
  <c r="U86" i="28"/>
  <c r="V86" i="28"/>
  <c r="W86" i="28"/>
  <c r="X86" i="28"/>
  <c r="Y86" i="28"/>
  <c r="Z86" i="28"/>
  <c r="AA86" i="28"/>
  <c r="AB86" i="28"/>
  <c r="AC86" i="28"/>
  <c r="AD86" i="28"/>
  <c r="AE86" i="28"/>
  <c r="AF86" i="28"/>
  <c r="AG86" i="28"/>
  <c r="AH86" i="28"/>
  <c r="AI86" i="28"/>
  <c r="AJ86" i="28"/>
  <c r="AK86" i="28"/>
  <c r="AL86" i="28"/>
  <c r="AM86" i="28"/>
  <c r="AN86" i="28"/>
  <c r="AO86" i="28"/>
  <c r="AP86" i="28"/>
  <c r="AQ86" i="28"/>
  <c r="AR86" i="28"/>
  <c r="AS86" i="28"/>
  <c r="AT86" i="28"/>
  <c r="AU86" i="28"/>
  <c r="AV86" i="28"/>
  <c r="AW86" i="28"/>
  <c r="AX86" i="28"/>
  <c r="AY86" i="28"/>
  <c r="AZ86" i="28"/>
  <c r="BA86" i="28"/>
  <c r="BB86" i="28"/>
  <c r="BC86" i="28"/>
  <c r="BD86" i="28"/>
  <c r="BE86" i="28"/>
  <c r="BF86" i="28"/>
  <c r="BG86" i="28"/>
  <c r="BH86" i="28"/>
  <c r="BI86" i="28"/>
  <c r="BJ86" i="28"/>
  <c r="BK86" i="28"/>
  <c r="BL86" i="28"/>
  <c r="BM86" i="28"/>
  <c r="BN86" i="28"/>
  <c r="BO86" i="28"/>
  <c r="BP86" i="28"/>
  <c r="BQ86" i="28"/>
  <c r="BR86" i="28"/>
  <c r="BS86" i="28"/>
  <c r="BT86" i="28"/>
  <c r="BU86" i="28"/>
  <c r="BV86" i="28"/>
  <c r="BW86" i="28"/>
  <c r="BX86" i="28"/>
  <c r="BY86" i="28"/>
  <c r="BZ86" i="28"/>
  <c r="CA86" i="28"/>
  <c r="CB86" i="28"/>
  <c r="CC86" i="28"/>
  <c r="CD86" i="28"/>
  <c r="CE86" i="28"/>
  <c r="CF86" i="28"/>
  <c r="CG86" i="28"/>
  <c r="CH86" i="28"/>
  <c r="CI86" i="28"/>
  <c r="CJ86" i="28"/>
  <c r="CK86" i="28"/>
  <c r="CL86" i="28"/>
  <c r="CM86" i="28"/>
  <c r="CN86" i="28"/>
  <c r="CO86" i="28"/>
  <c r="CP86" i="28"/>
  <c r="CQ86" i="28"/>
  <c r="CR86" i="28"/>
  <c r="CS86" i="28"/>
  <c r="CT86" i="28"/>
  <c r="CU86" i="28"/>
  <c r="CV86" i="28"/>
  <c r="CW86" i="28"/>
  <c r="CX86" i="28"/>
  <c r="CY86" i="28"/>
  <c r="CZ86" i="28"/>
  <c r="DA86" i="28"/>
  <c r="DB86" i="28"/>
  <c r="DC86" i="28"/>
  <c r="DD86" i="28"/>
  <c r="DE86" i="28"/>
  <c r="DF86" i="28"/>
  <c r="DG86" i="28"/>
  <c r="DH86" i="28"/>
  <c r="DI86" i="28"/>
  <c r="DJ86" i="28"/>
  <c r="DK86" i="28"/>
  <c r="DL86" i="28"/>
  <c r="DM86" i="28"/>
  <c r="DN86" i="28"/>
  <c r="DO86" i="28"/>
  <c r="DP86" i="28"/>
  <c r="DQ86" i="28"/>
  <c r="DR86" i="28"/>
  <c r="DS86" i="28"/>
  <c r="DT86" i="28"/>
  <c r="DU86" i="28"/>
  <c r="DV86" i="28"/>
  <c r="DW86" i="28"/>
  <c r="DX86" i="28"/>
  <c r="DY86" i="28"/>
  <c r="DZ86" i="28"/>
  <c r="EA86" i="28"/>
  <c r="EB86" i="28"/>
  <c r="EC86" i="28"/>
  <c r="ED86" i="28"/>
  <c r="EE86" i="28"/>
  <c r="EF86" i="28"/>
  <c r="EG86" i="28"/>
  <c r="EH86" i="28"/>
  <c r="EI86" i="28"/>
  <c r="EJ86" i="28"/>
  <c r="EK86" i="28"/>
  <c r="EL86" i="28"/>
  <c r="EM86" i="28"/>
  <c r="EN86" i="28"/>
  <c r="EO86" i="28"/>
  <c r="EP86" i="28"/>
  <c r="EQ86" i="28"/>
  <c r="ER86" i="28"/>
  <c r="ES86" i="28"/>
  <c r="ET86" i="28"/>
  <c r="EU86" i="28"/>
  <c r="EV86" i="28"/>
  <c r="EW86" i="28"/>
  <c r="EX86" i="28"/>
  <c r="EY86" i="28"/>
  <c r="EZ86" i="28"/>
  <c r="FA86" i="28"/>
  <c r="FB86" i="28"/>
  <c r="FC86" i="28"/>
  <c r="FD86" i="28"/>
  <c r="FE86" i="28"/>
  <c r="FF86" i="28"/>
  <c r="FG86" i="28"/>
  <c r="FH86" i="28"/>
  <c r="FI86" i="28"/>
  <c r="FJ86" i="28"/>
  <c r="FK86" i="28"/>
  <c r="FL86" i="28"/>
  <c r="FM86" i="28"/>
  <c r="FN86" i="28"/>
  <c r="FO86" i="28"/>
  <c r="FP86" i="28"/>
  <c r="FQ86" i="28"/>
  <c r="FR86" i="28"/>
  <c r="FS86" i="28"/>
  <c r="FT86" i="28"/>
  <c r="FU86" i="28"/>
  <c r="FV86" i="28"/>
  <c r="FW86" i="28"/>
  <c r="FX86" i="28"/>
  <c r="FY86" i="28"/>
  <c r="FZ86" i="28"/>
  <c r="GA86" i="28"/>
  <c r="GB86" i="28"/>
  <c r="GC86" i="28"/>
  <c r="GD86" i="28"/>
  <c r="GE86" i="28"/>
  <c r="GF86" i="28"/>
  <c r="GG86" i="28"/>
  <c r="GH86" i="28"/>
  <c r="GI86" i="28"/>
  <c r="GJ86" i="28"/>
  <c r="GK86" i="28"/>
  <c r="GL86" i="28"/>
  <c r="GM86" i="28"/>
  <c r="GN86" i="28"/>
  <c r="GO86" i="28"/>
  <c r="GP86" i="28"/>
  <c r="GQ86" i="28"/>
  <c r="GR86" i="28"/>
  <c r="GS86" i="28"/>
  <c r="GT86" i="28"/>
  <c r="GU86" i="28"/>
  <c r="GV86" i="28"/>
  <c r="GW86" i="28"/>
  <c r="GX86" i="28"/>
  <c r="GY86" i="28"/>
  <c r="GZ86" i="28"/>
  <c r="HA86" i="28"/>
  <c r="HB86" i="28"/>
  <c r="HC86" i="28"/>
  <c r="HD86" i="28"/>
  <c r="HE86" i="28"/>
  <c r="HF86" i="28"/>
  <c r="HG86" i="28"/>
  <c r="HH86" i="28"/>
  <c r="HI86" i="28"/>
  <c r="HJ86" i="28"/>
  <c r="HK86" i="28"/>
  <c r="HL86" i="28"/>
  <c r="HM86" i="28"/>
  <c r="HN86" i="28"/>
  <c r="HO86" i="28"/>
  <c r="HP86" i="28"/>
  <c r="HQ86" i="28"/>
  <c r="HR86" i="28"/>
  <c r="HS86" i="28"/>
  <c r="HT86" i="28"/>
  <c r="HU86" i="28"/>
  <c r="HV86" i="28"/>
  <c r="HW86" i="28"/>
  <c r="HX86" i="28"/>
  <c r="HY86" i="28"/>
  <c r="HZ86" i="28"/>
  <c r="IA86" i="28"/>
  <c r="IB86" i="28"/>
  <c r="IC86" i="28"/>
  <c r="ID86" i="28"/>
  <c r="IE86" i="28"/>
  <c r="IF86" i="28"/>
  <c r="IG86" i="28"/>
  <c r="IH86" i="28"/>
  <c r="II86" i="28"/>
  <c r="IJ86" i="28"/>
  <c r="IK86" i="28"/>
  <c r="IL86" i="28"/>
  <c r="IM86" i="28"/>
  <c r="IN86" i="28"/>
  <c r="IO86" i="28"/>
  <c r="IP86" i="28"/>
  <c r="IQ86" i="28"/>
  <c r="IR86" i="28"/>
  <c r="IS86" i="28"/>
  <c r="IT86" i="28"/>
  <c r="IU86" i="28"/>
  <c r="IV86" i="28"/>
  <c r="A85" i="28"/>
  <c r="B85" i="28"/>
  <c r="C85" i="28"/>
  <c r="D85" i="28"/>
  <c r="E85" i="28"/>
  <c r="F85" i="28"/>
  <c r="G85" i="28"/>
  <c r="H85" i="28"/>
  <c r="I85" i="28"/>
  <c r="J85" i="28"/>
  <c r="K85" i="28"/>
  <c r="L85" i="28"/>
  <c r="M85" i="28"/>
  <c r="N85" i="28"/>
  <c r="O85" i="28"/>
  <c r="P85" i="28"/>
  <c r="Q85" i="28"/>
  <c r="R85" i="28"/>
  <c r="S85" i="28"/>
  <c r="T85" i="28"/>
  <c r="U85" i="28"/>
  <c r="V85" i="28"/>
  <c r="W85" i="28"/>
  <c r="X85" i="28"/>
  <c r="Y85" i="28"/>
  <c r="Z85" i="28"/>
  <c r="AA85" i="28"/>
  <c r="AB85" i="28"/>
  <c r="AC85" i="28"/>
  <c r="AD85" i="28"/>
  <c r="AE85" i="28"/>
  <c r="AF85" i="28"/>
  <c r="AG85" i="28"/>
  <c r="AH85" i="28"/>
  <c r="AI85" i="28"/>
  <c r="AJ85" i="28"/>
  <c r="AK85" i="28"/>
  <c r="AL85" i="28"/>
  <c r="AM85" i="28"/>
  <c r="AN85" i="28"/>
  <c r="AO85" i="28"/>
  <c r="AP85" i="28"/>
  <c r="AQ85" i="28"/>
  <c r="AR85" i="28"/>
  <c r="AS85" i="28"/>
  <c r="AT85" i="28"/>
  <c r="AU85" i="28"/>
  <c r="AV85" i="28"/>
  <c r="AW85" i="28"/>
  <c r="AX85" i="28"/>
  <c r="AY85" i="28"/>
  <c r="AZ85" i="28"/>
  <c r="BA85" i="28"/>
  <c r="BB85" i="28"/>
  <c r="BC85" i="28"/>
  <c r="BD85" i="28"/>
  <c r="BE85" i="28"/>
  <c r="BF85" i="28"/>
  <c r="BG85" i="28"/>
  <c r="BH85" i="28"/>
  <c r="BI85" i="28"/>
  <c r="BJ85" i="28"/>
  <c r="BK85" i="28"/>
  <c r="BL85" i="28"/>
  <c r="BM85" i="28"/>
  <c r="BN85" i="28"/>
  <c r="BO85" i="28"/>
  <c r="BP85" i="28"/>
  <c r="BQ85" i="28"/>
  <c r="BR85" i="28"/>
  <c r="BS85" i="28"/>
  <c r="BT85" i="28"/>
  <c r="BU85" i="28"/>
  <c r="BV85" i="28"/>
  <c r="BW85" i="28"/>
  <c r="BX85" i="28"/>
  <c r="BY85" i="28"/>
  <c r="BZ85" i="28"/>
  <c r="CA85" i="28"/>
  <c r="CB85" i="28"/>
  <c r="CC85" i="28"/>
  <c r="CD85" i="28"/>
  <c r="CE85" i="28"/>
  <c r="CF85" i="28"/>
  <c r="CG85" i="28"/>
  <c r="CH85" i="28"/>
  <c r="CI85" i="28"/>
  <c r="CJ85" i="28"/>
  <c r="CK85" i="28"/>
  <c r="CL85" i="28"/>
  <c r="CM85" i="28"/>
  <c r="CN85" i="28"/>
  <c r="CO85" i="28"/>
  <c r="CP85" i="28"/>
  <c r="CQ85" i="28"/>
  <c r="CR85" i="28"/>
  <c r="CS85" i="28"/>
  <c r="CT85" i="28"/>
  <c r="CU85" i="28"/>
  <c r="CV85" i="28"/>
  <c r="CW85" i="28"/>
  <c r="CX85" i="28"/>
  <c r="CY85" i="28"/>
  <c r="CZ85" i="28"/>
  <c r="DA85" i="28"/>
  <c r="DB85" i="28"/>
  <c r="DC85" i="28"/>
  <c r="DD85" i="28"/>
  <c r="DE85" i="28"/>
  <c r="DF85" i="28"/>
  <c r="DG85" i="28"/>
  <c r="DH85" i="28"/>
  <c r="DI85" i="28"/>
  <c r="DJ85" i="28"/>
  <c r="DK85" i="28"/>
  <c r="DL85" i="28"/>
  <c r="DM85" i="28"/>
  <c r="DN85" i="28"/>
  <c r="DO85" i="28"/>
  <c r="DP85" i="28"/>
  <c r="DQ85" i="28"/>
  <c r="DR85" i="28"/>
  <c r="DS85" i="28"/>
  <c r="DT85" i="28"/>
  <c r="DU85" i="28"/>
  <c r="DV85" i="28"/>
  <c r="DW85" i="28"/>
  <c r="DX85" i="28"/>
  <c r="DY85" i="28"/>
  <c r="DZ85" i="28"/>
  <c r="EA85" i="28"/>
  <c r="EB85" i="28"/>
  <c r="EC85" i="28"/>
  <c r="ED85" i="28"/>
  <c r="EE85" i="28"/>
  <c r="EF85" i="28"/>
  <c r="EG85" i="28"/>
  <c r="EH85" i="28"/>
  <c r="EI85" i="28"/>
  <c r="EJ85" i="28"/>
  <c r="EK85" i="28"/>
  <c r="EL85" i="28"/>
  <c r="EM85" i="28"/>
  <c r="EN85" i="28"/>
  <c r="EO85" i="28"/>
  <c r="EP85" i="28"/>
  <c r="EQ85" i="28"/>
  <c r="ER85" i="28"/>
  <c r="ES85" i="28"/>
  <c r="ET85" i="28"/>
  <c r="EU85" i="28"/>
  <c r="EV85" i="28"/>
  <c r="EW85" i="28"/>
  <c r="EX85" i="28"/>
  <c r="EY85" i="28"/>
  <c r="EZ85" i="28"/>
  <c r="FA85" i="28"/>
  <c r="FB85" i="28"/>
  <c r="FC85" i="28"/>
  <c r="FD85" i="28"/>
  <c r="FE85" i="28"/>
  <c r="FF85" i="28"/>
  <c r="FG85" i="28"/>
  <c r="FH85" i="28"/>
  <c r="FI85" i="28"/>
  <c r="FJ85" i="28"/>
  <c r="FK85" i="28"/>
  <c r="FL85" i="28"/>
  <c r="FM85" i="28"/>
  <c r="FN85" i="28"/>
  <c r="FO85" i="28"/>
  <c r="FP85" i="28"/>
  <c r="FQ85" i="28"/>
  <c r="FR85" i="28"/>
  <c r="FS85" i="28"/>
  <c r="FT85" i="28"/>
  <c r="FU85" i="28"/>
  <c r="FV85" i="28"/>
  <c r="FW85" i="28"/>
  <c r="FX85" i="28"/>
  <c r="FY85" i="28"/>
  <c r="FZ85" i="28"/>
  <c r="GA85" i="28"/>
  <c r="GB85" i="28"/>
  <c r="GC85" i="28"/>
  <c r="GD85" i="28"/>
  <c r="GE85" i="28"/>
  <c r="GF85" i="28"/>
  <c r="GG85" i="28"/>
  <c r="GH85" i="28"/>
  <c r="GI85" i="28"/>
  <c r="GJ85" i="28"/>
  <c r="GK85" i="28"/>
  <c r="GL85" i="28"/>
  <c r="GM85" i="28"/>
  <c r="GN85" i="28"/>
  <c r="GO85" i="28"/>
  <c r="GP85" i="28"/>
  <c r="GQ85" i="28"/>
  <c r="GR85" i="28"/>
  <c r="GS85" i="28"/>
  <c r="GT85" i="28"/>
  <c r="GU85" i="28"/>
  <c r="GV85" i="28"/>
  <c r="GW85" i="28"/>
  <c r="GX85" i="28"/>
  <c r="GY85" i="28"/>
  <c r="GZ85" i="28"/>
  <c r="HA85" i="28"/>
  <c r="HB85" i="28"/>
  <c r="HC85" i="28"/>
  <c r="HD85" i="28"/>
  <c r="HE85" i="28"/>
  <c r="HF85" i="28"/>
  <c r="HG85" i="28"/>
  <c r="HH85" i="28"/>
  <c r="HI85" i="28"/>
  <c r="HJ85" i="28"/>
  <c r="HK85" i="28"/>
  <c r="HL85" i="28"/>
  <c r="HM85" i="28"/>
  <c r="HN85" i="28"/>
  <c r="HO85" i="28"/>
  <c r="HP85" i="28"/>
  <c r="HQ85" i="28"/>
  <c r="HR85" i="28"/>
  <c r="HS85" i="28"/>
  <c r="HT85" i="28"/>
  <c r="HU85" i="28"/>
  <c r="HV85" i="28"/>
  <c r="HW85" i="28"/>
  <c r="HX85" i="28"/>
  <c r="HY85" i="28"/>
  <c r="HZ85" i="28"/>
  <c r="IA85" i="28"/>
  <c r="IB85" i="28"/>
  <c r="IC85" i="28"/>
  <c r="ID85" i="28"/>
  <c r="IE85" i="28"/>
  <c r="IF85" i="28"/>
  <c r="IG85" i="28"/>
  <c r="IH85" i="28"/>
  <c r="II85" i="28"/>
  <c r="IJ85" i="28"/>
  <c r="IK85" i="28"/>
  <c r="IL85" i="28"/>
  <c r="IM85" i="28"/>
  <c r="IN85" i="28"/>
  <c r="IO85" i="28"/>
  <c r="IP85" i="28"/>
  <c r="IQ85" i="28"/>
  <c r="IR85" i="28"/>
  <c r="IS85" i="28"/>
  <c r="IT85" i="28"/>
  <c r="IU85" i="28"/>
  <c r="IV85" i="28"/>
  <c r="A84" i="28"/>
  <c r="B84" i="28"/>
  <c r="C84" i="28"/>
  <c r="D84" i="28"/>
  <c r="E84" i="28"/>
  <c r="F84" i="28"/>
  <c r="G84" i="28"/>
  <c r="H84" i="28"/>
  <c r="I84" i="28"/>
  <c r="J84" i="28"/>
  <c r="K84" i="28"/>
  <c r="L84" i="28"/>
  <c r="M84" i="28"/>
  <c r="N84" i="28"/>
  <c r="O84" i="28"/>
  <c r="P84" i="28"/>
  <c r="Q84" i="28"/>
  <c r="R84" i="28"/>
  <c r="S84" i="28"/>
  <c r="T84" i="28"/>
  <c r="U84" i="28"/>
  <c r="V84" i="28"/>
  <c r="W84" i="28"/>
  <c r="X84" i="28"/>
  <c r="Y84" i="28"/>
  <c r="Z84" i="28"/>
  <c r="AA84" i="28"/>
  <c r="AB84" i="28"/>
  <c r="AC84" i="28"/>
  <c r="AD84" i="28"/>
  <c r="AE84" i="28"/>
  <c r="AF84" i="28"/>
  <c r="AG84" i="28"/>
  <c r="AH84" i="28"/>
  <c r="AI84" i="28"/>
  <c r="AJ84" i="28"/>
  <c r="AK84" i="28"/>
  <c r="AL84" i="28"/>
  <c r="AM84" i="28"/>
  <c r="AN84" i="28"/>
  <c r="AO84" i="28"/>
  <c r="AP84" i="28"/>
  <c r="AQ84" i="28"/>
  <c r="AR84" i="28"/>
  <c r="AS84" i="28"/>
  <c r="AT84" i="28"/>
  <c r="AU84" i="28"/>
  <c r="AV84" i="28"/>
  <c r="AW84" i="28"/>
  <c r="AX84" i="28"/>
  <c r="AY84" i="28"/>
  <c r="AZ84" i="28"/>
  <c r="BA84" i="28"/>
  <c r="BB84" i="28"/>
  <c r="BC84" i="28"/>
  <c r="BD84" i="28"/>
  <c r="BE84" i="28"/>
  <c r="BF84" i="28"/>
  <c r="BG84" i="28"/>
  <c r="BH84" i="28"/>
  <c r="BI84" i="28"/>
  <c r="BJ84" i="28"/>
  <c r="BK84" i="28"/>
  <c r="BL84" i="28"/>
  <c r="BM84" i="28"/>
  <c r="BN84" i="28"/>
  <c r="BO84" i="28"/>
  <c r="BP84" i="28"/>
  <c r="BQ84" i="28"/>
  <c r="BR84" i="28"/>
  <c r="BS84" i="28"/>
  <c r="BT84" i="28"/>
  <c r="BU84" i="28"/>
  <c r="BV84" i="28"/>
  <c r="BW84" i="28"/>
  <c r="BX84" i="28"/>
  <c r="BY84" i="28"/>
  <c r="BZ84" i="28"/>
  <c r="CA84" i="28"/>
  <c r="CB84" i="28"/>
  <c r="CC84" i="28"/>
  <c r="CD84" i="28"/>
  <c r="CE84" i="28"/>
  <c r="CF84" i="28"/>
  <c r="CG84" i="28"/>
  <c r="CH84" i="28"/>
  <c r="CI84" i="28"/>
  <c r="CJ84" i="28"/>
  <c r="CK84" i="28"/>
  <c r="CL84" i="28"/>
  <c r="CM84" i="28"/>
  <c r="CN84" i="28"/>
  <c r="CO84" i="28"/>
  <c r="CP84" i="28"/>
  <c r="CQ84" i="28"/>
  <c r="CR84" i="28"/>
  <c r="CS84" i="28"/>
  <c r="CT84" i="28"/>
  <c r="CU84" i="28"/>
  <c r="CV84" i="28"/>
  <c r="CW84" i="28"/>
  <c r="CX84" i="28"/>
  <c r="CY84" i="28"/>
  <c r="CZ84" i="28"/>
  <c r="DA84" i="28"/>
  <c r="DB84" i="28"/>
  <c r="DC84" i="28"/>
  <c r="DD84" i="28"/>
  <c r="DE84" i="28"/>
  <c r="DF84" i="28"/>
  <c r="DG84" i="28"/>
  <c r="DH84" i="28"/>
  <c r="DI84" i="28"/>
  <c r="DJ84" i="28"/>
  <c r="DK84" i="28"/>
  <c r="DL84" i="28"/>
  <c r="DM84" i="28"/>
  <c r="DN84" i="28"/>
  <c r="DO84" i="28"/>
  <c r="DP84" i="28"/>
  <c r="DQ84" i="28"/>
  <c r="DR84" i="28"/>
  <c r="DS84" i="28"/>
  <c r="DT84" i="28"/>
  <c r="DU84" i="28"/>
  <c r="DV84" i="28"/>
  <c r="DW84" i="28"/>
  <c r="DX84" i="28"/>
  <c r="DY84" i="28"/>
  <c r="DZ84" i="28"/>
  <c r="EA84" i="28"/>
  <c r="EB84" i="28"/>
  <c r="EC84" i="28"/>
  <c r="ED84" i="28"/>
  <c r="EE84" i="28"/>
  <c r="EF84" i="28"/>
  <c r="EG84" i="28"/>
  <c r="EH84" i="28"/>
  <c r="EI84" i="28"/>
  <c r="EJ84" i="28"/>
  <c r="EK84" i="28"/>
  <c r="EL84" i="28"/>
  <c r="EM84" i="28"/>
  <c r="EN84" i="28"/>
  <c r="EO84" i="28"/>
  <c r="EP84" i="28"/>
  <c r="EQ84" i="28"/>
  <c r="ER84" i="28"/>
  <c r="ES84" i="28"/>
  <c r="ET84" i="28"/>
  <c r="EU84" i="28"/>
  <c r="EV84" i="28"/>
  <c r="EW84" i="28"/>
  <c r="EX84" i="28"/>
  <c r="EY84" i="28"/>
  <c r="EZ84" i="28"/>
  <c r="FA84" i="28"/>
  <c r="FB84" i="28"/>
  <c r="FC84" i="28"/>
  <c r="FD84" i="28"/>
  <c r="FE84" i="28"/>
  <c r="FF84" i="28"/>
  <c r="FG84" i="28"/>
  <c r="FH84" i="28"/>
  <c r="FI84" i="28"/>
  <c r="FJ84" i="28"/>
  <c r="FK84" i="28"/>
  <c r="FL84" i="28"/>
  <c r="FM84" i="28"/>
  <c r="FN84" i="28"/>
  <c r="FO84" i="28"/>
  <c r="FP84" i="28"/>
  <c r="FQ84" i="28"/>
  <c r="FR84" i="28"/>
  <c r="FS84" i="28"/>
  <c r="FT84" i="28"/>
  <c r="FU84" i="28"/>
  <c r="FV84" i="28"/>
  <c r="FW84" i="28"/>
  <c r="FX84" i="28"/>
  <c r="FY84" i="28"/>
  <c r="FZ84" i="28"/>
  <c r="GA84" i="28"/>
  <c r="GB84" i="28"/>
  <c r="GC84" i="28"/>
  <c r="GD84" i="28"/>
  <c r="GE84" i="28"/>
  <c r="GF84" i="28"/>
  <c r="GG84" i="28"/>
  <c r="GH84" i="28"/>
  <c r="GI84" i="28"/>
  <c r="GJ84" i="28"/>
  <c r="GK84" i="28"/>
  <c r="GL84" i="28"/>
  <c r="GM84" i="28"/>
  <c r="GN84" i="28"/>
  <c r="GO84" i="28"/>
  <c r="GP84" i="28"/>
  <c r="GQ84" i="28"/>
  <c r="GR84" i="28"/>
  <c r="GS84" i="28"/>
  <c r="GT84" i="28"/>
  <c r="GU84" i="28"/>
  <c r="GV84" i="28"/>
  <c r="GW84" i="28"/>
  <c r="GX84" i="28"/>
  <c r="GY84" i="28"/>
  <c r="GZ84" i="28"/>
  <c r="HA84" i="28"/>
  <c r="HB84" i="28"/>
  <c r="HC84" i="28"/>
  <c r="HD84" i="28"/>
  <c r="HE84" i="28"/>
  <c r="HF84" i="28"/>
  <c r="HG84" i="28"/>
  <c r="HH84" i="28"/>
  <c r="HI84" i="28"/>
  <c r="HJ84" i="28"/>
  <c r="HK84" i="28"/>
  <c r="HL84" i="28"/>
  <c r="HM84" i="28"/>
  <c r="HN84" i="28"/>
  <c r="HO84" i="28"/>
  <c r="HP84" i="28"/>
  <c r="HQ84" i="28"/>
  <c r="HR84" i="28"/>
  <c r="HS84" i="28"/>
  <c r="HT84" i="28"/>
  <c r="HU84" i="28"/>
  <c r="HV84" i="28"/>
  <c r="HW84" i="28"/>
  <c r="HX84" i="28"/>
  <c r="HY84" i="28"/>
  <c r="HZ84" i="28"/>
  <c r="IA84" i="28"/>
  <c r="IB84" i="28"/>
  <c r="IC84" i="28"/>
  <c r="ID84" i="28"/>
  <c r="IE84" i="28"/>
  <c r="IF84" i="28"/>
  <c r="IG84" i="28"/>
  <c r="IH84" i="28"/>
  <c r="II84" i="28"/>
  <c r="IJ84" i="28"/>
  <c r="IK84" i="28"/>
  <c r="IL84" i="28"/>
  <c r="IM84" i="28"/>
  <c r="IN84" i="28"/>
  <c r="IO84" i="28"/>
  <c r="IP84" i="28"/>
  <c r="IQ84" i="28"/>
  <c r="IR84" i="28"/>
  <c r="IS84" i="28"/>
  <c r="IT84" i="28"/>
  <c r="IU84" i="28"/>
  <c r="IV84" i="28"/>
  <c r="A83" i="28"/>
  <c r="B83" i="28"/>
  <c r="C83" i="28"/>
  <c r="D83" i="28"/>
  <c r="E83" i="28"/>
  <c r="F83" i="28"/>
  <c r="G83" i="28"/>
  <c r="H83" i="28"/>
  <c r="I83" i="28"/>
  <c r="J83" i="28"/>
  <c r="K83" i="28"/>
  <c r="L83" i="28"/>
  <c r="M83" i="28"/>
  <c r="N83" i="28"/>
  <c r="O83" i="28"/>
  <c r="P83" i="28"/>
  <c r="Q83" i="28"/>
  <c r="R83" i="28"/>
  <c r="S83" i="28"/>
  <c r="T83" i="28"/>
  <c r="U83" i="28"/>
  <c r="V83" i="28"/>
  <c r="W83" i="28"/>
  <c r="X83" i="28"/>
  <c r="Y83" i="28"/>
  <c r="Z83" i="28"/>
  <c r="AA83" i="28"/>
  <c r="AB83" i="28"/>
  <c r="AC83" i="28"/>
  <c r="AD83" i="28"/>
  <c r="AE83" i="28"/>
  <c r="AF83" i="28"/>
  <c r="AG83" i="28"/>
  <c r="AH83" i="28"/>
  <c r="AI83" i="28"/>
  <c r="AJ83" i="28"/>
  <c r="AK83" i="28"/>
  <c r="AL83" i="28"/>
  <c r="AM83" i="28"/>
  <c r="AN83" i="28"/>
  <c r="AO83" i="28"/>
  <c r="AP83" i="28"/>
  <c r="AQ83" i="28"/>
  <c r="AR83" i="28"/>
  <c r="AS83" i="28"/>
  <c r="AT83" i="28"/>
  <c r="AU83" i="28"/>
  <c r="AV83" i="28"/>
  <c r="AW83" i="28"/>
  <c r="AX83" i="28"/>
  <c r="AY83" i="28"/>
  <c r="AZ83" i="28"/>
  <c r="BA83" i="28"/>
  <c r="BB83" i="28"/>
  <c r="BC83" i="28"/>
  <c r="BD83" i="28"/>
  <c r="BE83" i="28"/>
  <c r="BF83" i="28"/>
  <c r="BG83" i="28"/>
  <c r="BH83" i="28"/>
  <c r="BI83" i="28"/>
  <c r="BJ83" i="28"/>
  <c r="BK83" i="28"/>
  <c r="BL83" i="28"/>
  <c r="BM83" i="28"/>
  <c r="BN83" i="28"/>
  <c r="BO83" i="28"/>
  <c r="BP83" i="28"/>
  <c r="BQ83" i="28"/>
  <c r="BR83" i="28"/>
  <c r="BS83" i="28"/>
  <c r="BT83" i="28"/>
  <c r="BU83" i="28"/>
  <c r="BV83" i="28"/>
  <c r="BW83" i="28"/>
  <c r="BX83" i="28"/>
  <c r="BY83" i="28"/>
  <c r="BZ83" i="28"/>
  <c r="CA83" i="28"/>
  <c r="CB83" i="28"/>
  <c r="CC83" i="28"/>
  <c r="CD83" i="28"/>
  <c r="CE83" i="28"/>
  <c r="CF83" i="28"/>
  <c r="CG83" i="28"/>
  <c r="CH83" i="28"/>
  <c r="CI83" i="28"/>
  <c r="CJ83" i="28"/>
  <c r="CK83" i="28"/>
  <c r="CL83" i="28"/>
  <c r="CM83" i="28"/>
  <c r="CN83" i="28"/>
  <c r="CO83" i="28"/>
  <c r="CP83" i="28"/>
  <c r="CQ83" i="28"/>
  <c r="CR83" i="28"/>
  <c r="CS83" i="28"/>
  <c r="CT83" i="28"/>
  <c r="CU83" i="28"/>
  <c r="CV83" i="28"/>
  <c r="CW83" i="28"/>
  <c r="CX83" i="28"/>
  <c r="CY83" i="28"/>
  <c r="CZ83" i="28"/>
  <c r="DA83" i="28"/>
  <c r="DB83" i="28"/>
  <c r="DC83" i="28"/>
  <c r="DD83" i="28"/>
  <c r="DE83" i="28"/>
  <c r="DF83" i="28"/>
  <c r="DG83" i="28"/>
  <c r="DH83" i="28"/>
  <c r="DI83" i="28"/>
  <c r="DJ83" i="28"/>
  <c r="DK83" i="28"/>
  <c r="DL83" i="28"/>
  <c r="DM83" i="28"/>
  <c r="DN83" i="28"/>
  <c r="DO83" i="28"/>
  <c r="DP83" i="28"/>
  <c r="DQ83" i="28"/>
  <c r="DR83" i="28"/>
  <c r="DS83" i="28"/>
  <c r="DT83" i="28"/>
  <c r="DU83" i="28"/>
  <c r="DV83" i="28"/>
  <c r="DW83" i="28"/>
  <c r="DX83" i="28"/>
  <c r="DY83" i="28"/>
  <c r="DZ83" i="28"/>
  <c r="EA83" i="28"/>
  <c r="EB83" i="28"/>
  <c r="EC83" i="28"/>
  <c r="ED83" i="28"/>
  <c r="EE83" i="28"/>
  <c r="EF83" i="28"/>
  <c r="EG83" i="28"/>
  <c r="EH83" i="28"/>
  <c r="EI83" i="28"/>
  <c r="EJ83" i="28"/>
  <c r="EK83" i="28"/>
  <c r="EL83" i="28"/>
  <c r="EM83" i="28"/>
  <c r="EN83" i="28"/>
  <c r="EO83" i="28"/>
  <c r="EP83" i="28"/>
  <c r="EQ83" i="28"/>
  <c r="ER83" i="28"/>
  <c r="ES83" i="28"/>
  <c r="ET83" i="28"/>
  <c r="EU83" i="28"/>
  <c r="EV83" i="28"/>
  <c r="EW83" i="28"/>
  <c r="EX83" i="28"/>
  <c r="EY83" i="28"/>
  <c r="EZ83" i="28"/>
  <c r="FA83" i="28"/>
  <c r="FB83" i="28"/>
  <c r="FC83" i="28"/>
  <c r="FD83" i="28"/>
  <c r="FE83" i="28"/>
  <c r="FF83" i="28"/>
  <c r="FG83" i="28"/>
  <c r="FH83" i="28"/>
  <c r="FI83" i="28"/>
  <c r="FJ83" i="28"/>
  <c r="FK83" i="28"/>
  <c r="FL83" i="28"/>
  <c r="FM83" i="28"/>
  <c r="FN83" i="28"/>
  <c r="FO83" i="28"/>
  <c r="FP83" i="28"/>
  <c r="FQ83" i="28"/>
  <c r="FR83" i="28"/>
  <c r="FS83" i="28"/>
  <c r="FT83" i="28"/>
  <c r="FU83" i="28"/>
  <c r="FV83" i="28"/>
  <c r="FW83" i="28"/>
  <c r="FX83" i="28"/>
  <c r="FY83" i="28"/>
  <c r="FZ83" i="28"/>
  <c r="GA83" i="28"/>
  <c r="GB83" i="28"/>
  <c r="GC83" i="28"/>
  <c r="GD83" i="28"/>
  <c r="GE83" i="28"/>
  <c r="GF83" i="28"/>
  <c r="GG83" i="28"/>
  <c r="GH83" i="28"/>
  <c r="GI83" i="28"/>
  <c r="GJ83" i="28"/>
  <c r="GK83" i="28"/>
  <c r="GL83" i="28"/>
  <c r="GM83" i="28"/>
  <c r="GN83" i="28"/>
  <c r="GO83" i="28"/>
  <c r="GP83" i="28"/>
  <c r="GQ83" i="28"/>
  <c r="GR83" i="28"/>
  <c r="GS83" i="28"/>
  <c r="GT83" i="28"/>
  <c r="GU83" i="28"/>
  <c r="GV83" i="28"/>
  <c r="GW83" i="28"/>
  <c r="GX83" i="28"/>
  <c r="GY83" i="28"/>
  <c r="GZ83" i="28"/>
  <c r="HA83" i="28"/>
  <c r="HB83" i="28"/>
  <c r="HC83" i="28"/>
  <c r="HD83" i="28"/>
  <c r="HE83" i="28"/>
  <c r="HF83" i="28"/>
  <c r="HG83" i="28"/>
  <c r="HH83" i="28"/>
  <c r="HI83" i="28"/>
  <c r="HJ83" i="28"/>
  <c r="HK83" i="28"/>
  <c r="HL83" i="28"/>
  <c r="HM83" i="28"/>
  <c r="HN83" i="28"/>
  <c r="HO83" i="28"/>
  <c r="HP83" i="28"/>
  <c r="HQ83" i="28"/>
  <c r="HR83" i="28"/>
  <c r="HS83" i="28"/>
  <c r="HT83" i="28"/>
  <c r="HU83" i="28"/>
  <c r="HV83" i="28"/>
  <c r="HW83" i="28"/>
  <c r="HX83" i="28"/>
  <c r="HY83" i="28"/>
  <c r="HZ83" i="28"/>
  <c r="IA83" i="28"/>
  <c r="IB83" i="28"/>
  <c r="IC83" i="28"/>
  <c r="ID83" i="28"/>
  <c r="IE83" i="28"/>
  <c r="IF83" i="28"/>
  <c r="IG83" i="28"/>
  <c r="IH83" i="28"/>
  <c r="II83" i="28"/>
  <c r="IJ83" i="28"/>
  <c r="IK83" i="28"/>
  <c r="IL83" i="28"/>
  <c r="IM83" i="28"/>
  <c r="IN83" i="28"/>
  <c r="IO83" i="28"/>
  <c r="IP83" i="28"/>
  <c r="IQ83" i="28"/>
  <c r="IR83" i="28"/>
  <c r="IS83" i="28"/>
  <c r="IT83" i="28"/>
  <c r="IU83" i="28"/>
  <c r="IV83" i="28"/>
  <c r="A82" i="28"/>
  <c r="B82" i="28"/>
  <c r="C82" i="28"/>
  <c r="D82" i="28"/>
  <c r="E82" i="28"/>
  <c r="F82" i="28"/>
  <c r="G82" i="28"/>
  <c r="H82" i="28"/>
  <c r="I82" i="28"/>
  <c r="J82" i="28"/>
  <c r="L82" i="28"/>
  <c r="M82" i="28"/>
  <c r="N82" i="28"/>
  <c r="O82" i="28"/>
  <c r="P82" i="28"/>
  <c r="Q82" i="28"/>
  <c r="R82" i="28"/>
  <c r="S82" i="28"/>
  <c r="T82" i="28"/>
  <c r="U82" i="28"/>
  <c r="V82" i="28"/>
  <c r="W82" i="28"/>
  <c r="X82" i="28"/>
  <c r="Y82" i="28"/>
  <c r="Z82" i="28"/>
  <c r="AA82" i="28"/>
  <c r="AB82" i="28"/>
  <c r="AC82" i="28"/>
  <c r="AD82" i="28"/>
  <c r="AE82" i="28"/>
  <c r="AF82" i="28"/>
  <c r="AG82" i="28"/>
  <c r="AH82" i="28"/>
  <c r="AI82" i="28"/>
  <c r="AJ82" i="28"/>
  <c r="AK82" i="28"/>
  <c r="AL82" i="28"/>
  <c r="AM82" i="28"/>
  <c r="AN82" i="28"/>
  <c r="AO82" i="28"/>
  <c r="AP82" i="28"/>
  <c r="AQ82" i="28"/>
  <c r="AR82" i="28"/>
  <c r="AS82" i="28"/>
  <c r="AT82" i="28"/>
  <c r="AU82" i="28"/>
  <c r="AV82" i="28"/>
  <c r="AW82" i="28"/>
  <c r="AX82" i="28"/>
  <c r="AY82" i="28"/>
  <c r="AZ82" i="28"/>
  <c r="BA82" i="28"/>
  <c r="BB82" i="28"/>
  <c r="BC82" i="28"/>
  <c r="BD82" i="28"/>
  <c r="BE82" i="28"/>
  <c r="BF82" i="28"/>
  <c r="BG82" i="28"/>
  <c r="BH82" i="28"/>
  <c r="BI82" i="28"/>
  <c r="BJ82" i="28"/>
  <c r="BK82" i="28"/>
  <c r="BL82" i="28"/>
  <c r="BM82" i="28"/>
  <c r="BN82" i="28"/>
  <c r="BO82" i="28"/>
  <c r="BP82" i="28"/>
  <c r="BQ82" i="28"/>
  <c r="BR82" i="28"/>
  <c r="BS82" i="28"/>
  <c r="BT82" i="28"/>
  <c r="BU82" i="28"/>
  <c r="BV82" i="28"/>
  <c r="BW82" i="28"/>
  <c r="BX82" i="28"/>
  <c r="BY82" i="28"/>
  <c r="BZ82" i="28"/>
  <c r="CA82" i="28"/>
  <c r="CB82" i="28"/>
  <c r="CC82" i="28"/>
  <c r="CD82" i="28"/>
  <c r="CE82" i="28"/>
  <c r="CF82" i="28"/>
  <c r="CG82" i="28"/>
  <c r="CH82" i="28"/>
  <c r="CI82" i="28"/>
  <c r="CJ82" i="28"/>
  <c r="CK82" i="28"/>
  <c r="CL82" i="28"/>
  <c r="CM82" i="28"/>
  <c r="CN82" i="28"/>
  <c r="CO82" i="28"/>
  <c r="CP82" i="28"/>
  <c r="CQ82" i="28"/>
  <c r="CR82" i="28"/>
  <c r="CS82" i="28"/>
  <c r="CT82" i="28"/>
  <c r="CU82" i="28"/>
  <c r="CV82" i="28"/>
  <c r="CW82" i="28"/>
  <c r="CX82" i="28"/>
  <c r="CY82" i="28"/>
  <c r="CZ82" i="28"/>
  <c r="DA82" i="28"/>
  <c r="DB82" i="28"/>
  <c r="DC82" i="28"/>
  <c r="DD82" i="28"/>
  <c r="DE82" i="28"/>
  <c r="DF82" i="28"/>
  <c r="DG82" i="28"/>
  <c r="DH82" i="28"/>
  <c r="DI82" i="28"/>
  <c r="DJ82" i="28"/>
  <c r="DK82" i="28"/>
  <c r="DL82" i="28"/>
  <c r="DM82" i="28"/>
  <c r="DN82" i="28"/>
  <c r="DO82" i="28"/>
  <c r="DP82" i="28"/>
  <c r="DQ82" i="28"/>
  <c r="DR82" i="28"/>
  <c r="DS82" i="28"/>
  <c r="DT82" i="28"/>
  <c r="DU82" i="28"/>
  <c r="DV82" i="28"/>
  <c r="DW82" i="28"/>
  <c r="DX82" i="28"/>
  <c r="DY82" i="28"/>
  <c r="DZ82" i="28"/>
  <c r="EA82" i="28"/>
  <c r="EB82" i="28"/>
  <c r="EC82" i="28"/>
  <c r="ED82" i="28"/>
  <c r="EE82" i="28"/>
  <c r="EF82" i="28"/>
  <c r="EG82" i="28"/>
  <c r="EH82" i="28"/>
  <c r="EI82" i="28"/>
  <c r="EJ82" i="28"/>
  <c r="EK82" i="28"/>
  <c r="EL82" i="28"/>
  <c r="EM82" i="28"/>
  <c r="EN82" i="28"/>
  <c r="EO82" i="28"/>
  <c r="EP82" i="28"/>
  <c r="EQ82" i="28"/>
  <c r="ER82" i="28"/>
  <c r="ES82" i="28"/>
  <c r="ET82" i="28"/>
  <c r="EU82" i="28"/>
  <c r="EV82" i="28"/>
  <c r="EW82" i="28"/>
  <c r="EX82" i="28"/>
  <c r="EY82" i="28"/>
  <c r="EZ82" i="28"/>
  <c r="FA82" i="28"/>
  <c r="FB82" i="28"/>
  <c r="FC82" i="28"/>
  <c r="FD82" i="28"/>
  <c r="FE82" i="28"/>
  <c r="FF82" i="28"/>
  <c r="FG82" i="28"/>
  <c r="FH82" i="28"/>
  <c r="FI82" i="28"/>
  <c r="FJ82" i="28"/>
  <c r="FK82" i="28"/>
  <c r="FL82" i="28"/>
  <c r="FM82" i="28"/>
  <c r="FN82" i="28"/>
  <c r="FO82" i="28"/>
  <c r="FP82" i="28"/>
  <c r="FQ82" i="28"/>
  <c r="FR82" i="28"/>
  <c r="FS82" i="28"/>
  <c r="FT82" i="28"/>
  <c r="FU82" i="28"/>
  <c r="FV82" i="28"/>
  <c r="FW82" i="28"/>
  <c r="FX82" i="28"/>
  <c r="FY82" i="28"/>
  <c r="FZ82" i="28"/>
  <c r="GA82" i="28"/>
  <c r="GB82" i="28"/>
  <c r="GC82" i="28"/>
  <c r="GD82" i="28"/>
  <c r="GE82" i="28"/>
  <c r="GF82" i="28"/>
  <c r="GG82" i="28"/>
  <c r="GH82" i="28"/>
  <c r="GI82" i="28"/>
  <c r="GJ82" i="28"/>
  <c r="GK82" i="28"/>
  <c r="GL82" i="28"/>
  <c r="GM82" i="28"/>
  <c r="GN82" i="28"/>
  <c r="GO82" i="28"/>
  <c r="GP82" i="28"/>
  <c r="GQ82" i="28"/>
  <c r="GR82" i="28"/>
  <c r="GS82" i="28"/>
  <c r="GT82" i="28"/>
  <c r="GU82" i="28"/>
  <c r="GV82" i="28"/>
  <c r="GW82" i="28"/>
  <c r="GX82" i="28"/>
  <c r="GY82" i="28"/>
  <c r="GZ82" i="28"/>
  <c r="HA82" i="28"/>
  <c r="HB82" i="28"/>
  <c r="HC82" i="28"/>
  <c r="HD82" i="28"/>
  <c r="HE82" i="28"/>
  <c r="HF82" i="28"/>
  <c r="HG82" i="28"/>
  <c r="HH82" i="28"/>
  <c r="HI82" i="28"/>
  <c r="HJ82" i="28"/>
  <c r="HK82" i="28"/>
  <c r="HL82" i="28"/>
  <c r="HM82" i="28"/>
  <c r="HN82" i="28"/>
  <c r="HO82" i="28"/>
  <c r="HP82" i="28"/>
  <c r="HQ82" i="28"/>
  <c r="HR82" i="28"/>
  <c r="HS82" i="28"/>
  <c r="HT82" i="28"/>
  <c r="HU82" i="28"/>
  <c r="HV82" i="28"/>
  <c r="HW82" i="28"/>
  <c r="HX82" i="28"/>
  <c r="HY82" i="28"/>
  <c r="HZ82" i="28"/>
  <c r="IA82" i="28"/>
  <c r="IB82" i="28"/>
  <c r="IC82" i="28"/>
  <c r="ID82" i="28"/>
  <c r="IE82" i="28"/>
  <c r="IF82" i="28"/>
  <c r="IG82" i="28"/>
  <c r="IH82" i="28"/>
  <c r="II82" i="28"/>
  <c r="IJ82" i="28"/>
  <c r="IK82" i="28"/>
  <c r="IL82" i="28"/>
  <c r="IM82" i="28"/>
  <c r="IN82" i="28"/>
  <c r="IO82" i="28"/>
  <c r="IP82" i="28"/>
  <c r="IQ82" i="28"/>
  <c r="IR82" i="28"/>
  <c r="IS82" i="28"/>
  <c r="IT82" i="28"/>
  <c r="IU82" i="28"/>
  <c r="IV82" i="28"/>
  <c r="A81" i="28"/>
  <c r="B81" i="28"/>
  <c r="C81" i="28"/>
  <c r="D81" i="28"/>
  <c r="E81" i="28"/>
  <c r="F81" i="28"/>
  <c r="G81" i="28"/>
  <c r="H81" i="28"/>
  <c r="I81" i="28"/>
  <c r="J81" i="28"/>
  <c r="L81" i="28"/>
  <c r="M81" i="28"/>
  <c r="N81" i="28"/>
  <c r="O81" i="28"/>
  <c r="P81" i="28"/>
  <c r="Q81" i="28"/>
  <c r="R81" i="28"/>
  <c r="S81" i="28"/>
  <c r="T81" i="28"/>
  <c r="U81" i="28"/>
  <c r="V81" i="28"/>
  <c r="W81" i="28"/>
  <c r="X81" i="28"/>
  <c r="Y81" i="28"/>
  <c r="Z81" i="28"/>
  <c r="AA81" i="28"/>
  <c r="AB81" i="28"/>
  <c r="AC81" i="28"/>
  <c r="AD81" i="28"/>
  <c r="AE81" i="28"/>
  <c r="AF81" i="28"/>
  <c r="AG81" i="28"/>
  <c r="AH81" i="28"/>
  <c r="AI81" i="28"/>
  <c r="AJ81" i="28"/>
  <c r="AK81" i="28"/>
  <c r="AL81" i="28"/>
  <c r="AM81" i="28"/>
  <c r="AN81" i="28"/>
  <c r="AO81" i="28"/>
  <c r="AP81" i="28"/>
  <c r="AQ81" i="28"/>
  <c r="AR81" i="28"/>
  <c r="AS81" i="28"/>
  <c r="AT81" i="28"/>
  <c r="AU81" i="28"/>
  <c r="AV81" i="28"/>
  <c r="AW81" i="28"/>
  <c r="AX81" i="28"/>
  <c r="AY81" i="28"/>
  <c r="AZ81" i="28"/>
  <c r="BA81" i="28"/>
  <c r="BB81" i="28"/>
  <c r="BC81" i="28"/>
  <c r="BD81" i="28"/>
  <c r="BE81" i="28"/>
  <c r="BF81" i="28"/>
  <c r="BG81" i="28"/>
  <c r="BH81" i="28"/>
  <c r="BI81" i="28"/>
  <c r="BJ81" i="28"/>
  <c r="BK81" i="28"/>
  <c r="BL81" i="28"/>
  <c r="BM81" i="28"/>
  <c r="BN81" i="28"/>
  <c r="BO81" i="28"/>
  <c r="BP81" i="28"/>
  <c r="BQ81" i="28"/>
  <c r="BR81" i="28"/>
  <c r="BS81" i="28"/>
  <c r="BT81" i="28"/>
  <c r="BU81" i="28"/>
  <c r="BV81" i="28"/>
  <c r="BW81" i="28"/>
  <c r="BX81" i="28"/>
  <c r="BY81" i="28"/>
  <c r="BZ81" i="28"/>
  <c r="CA81" i="28"/>
  <c r="CB81" i="28"/>
  <c r="CC81" i="28"/>
  <c r="CD81" i="28"/>
  <c r="CE81" i="28"/>
  <c r="CF81" i="28"/>
  <c r="CG81" i="28"/>
  <c r="CH81" i="28"/>
  <c r="CI81" i="28"/>
  <c r="CJ81" i="28"/>
  <c r="CK81" i="28"/>
  <c r="CL81" i="28"/>
  <c r="CM81" i="28"/>
  <c r="CN81" i="28"/>
  <c r="CO81" i="28"/>
  <c r="CP81" i="28"/>
  <c r="CQ81" i="28"/>
  <c r="CR81" i="28"/>
  <c r="CS81" i="28"/>
  <c r="CT81" i="28"/>
  <c r="CU81" i="28"/>
  <c r="CV81" i="28"/>
  <c r="CW81" i="28"/>
  <c r="CX81" i="28"/>
  <c r="CY81" i="28"/>
  <c r="CZ81" i="28"/>
  <c r="DA81" i="28"/>
  <c r="DB81" i="28"/>
  <c r="DC81" i="28"/>
  <c r="DD81" i="28"/>
  <c r="DE81" i="28"/>
  <c r="DF81" i="28"/>
  <c r="DG81" i="28"/>
  <c r="DH81" i="28"/>
  <c r="DI81" i="28"/>
  <c r="DJ81" i="28"/>
  <c r="DK81" i="28"/>
  <c r="DL81" i="28"/>
  <c r="DM81" i="28"/>
  <c r="DN81" i="28"/>
  <c r="DO81" i="28"/>
  <c r="DP81" i="28"/>
  <c r="DQ81" i="28"/>
  <c r="DR81" i="28"/>
  <c r="DS81" i="28"/>
  <c r="DT81" i="28"/>
  <c r="DU81" i="28"/>
  <c r="DV81" i="28"/>
  <c r="DW81" i="28"/>
  <c r="DX81" i="28"/>
  <c r="DY81" i="28"/>
  <c r="DZ81" i="28"/>
  <c r="EA81" i="28"/>
  <c r="EB81" i="28"/>
  <c r="EC81" i="28"/>
  <c r="ED81" i="28"/>
  <c r="EE81" i="28"/>
  <c r="EF81" i="28"/>
  <c r="EG81" i="28"/>
  <c r="EH81" i="28"/>
  <c r="EI81" i="28"/>
  <c r="EJ81" i="28"/>
  <c r="EK81" i="28"/>
  <c r="EL81" i="28"/>
  <c r="EM81" i="28"/>
  <c r="EN81" i="28"/>
  <c r="EO81" i="28"/>
  <c r="EP81" i="28"/>
  <c r="EQ81" i="28"/>
  <c r="ER81" i="28"/>
  <c r="ES81" i="28"/>
  <c r="ET81" i="28"/>
  <c r="EU81" i="28"/>
  <c r="EV81" i="28"/>
  <c r="EW81" i="28"/>
  <c r="EX81" i="28"/>
  <c r="EY81" i="28"/>
  <c r="EZ81" i="28"/>
  <c r="FA81" i="28"/>
  <c r="FB81" i="28"/>
  <c r="FC81" i="28"/>
  <c r="FD81" i="28"/>
  <c r="FE81" i="28"/>
  <c r="FF81" i="28"/>
  <c r="FG81" i="28"/>
  <c r="FH81" i="28"/>
  <c r="FI81" i="28"/>
  <c r="FJ81" i="28"/>
  <c r="FK81" i="28"/>
  <c r="FL81" i="28"/>
  <c r="FM81" i="28"/>
  <c r="FN81" i="28"/>
  <c r="FO81" i="28"/>
  <c r="FP81" i="28"/>
  <c r="FQ81" i="28"/>
  <c r="FR81" i="28"/>
  <c r="FS81" i="28"/>
  <c r="FT81" i="28"/>
  <c r="FU81" i="28"/>
  <c r="FV81" i="28"/>
  <c r="FW81" i="28"/>
  <c r="FX81" i="28"/>
  <c r="FY81" i="28"/>
  <c r="FZ81" i="28"/>
  <c r="GA81" i="28"/>
  <c r="GB81" i="28"/>
  <c r="GC81" i="28"/>
  <c r="GD81" i="28"/>
  <c r="GE81" i="28"/>
  <c r="GF81" i="28"/>
  <c r="GG81" i="28"/>
  <c r="GH81" i="28"/>
  <c r="GI81" i="28"/>
  <c r="GJ81" i="28"/>
  <c r="GK81" i="28"/>
  <c r="GL81" i="28"/>
  <c r="GM81" i="28"/>
  <c r="GN81" i="28"/>
  <c r="GO81" i="28"/>
  <c r="GP81" i="28"/>
  <c r="GQ81" i="28"/>
  <c r="GR81" i="28"/>
  <c r="GS81" i="28"/>
  <c r="GT81" i="28"/>
  <c r="GU81" i="28"/>
  <c r="GV81" i="28"/>
  <c r="GW81" i="28"/>
  <c r="GX81" i="28"/>
  <c r="GY81" i="28"/>
  <c r="GZ81" i="28"/>
  <c r="HA81" i="28"/>
  <c r="HB81" i="28"/>
  <c r="HC81" i="28"/>
  <c r="HD81" i="28"/>
  <c r="HE81" i="28"/>
  <c r="HF81" i="28"/>
  <c r="HG81" i="28"/>
  <c r="HH81" i="28"/>
  <c r="HI81" i="28"/>
  <c r="HJ81" i="28"/>
  <c r="HK81" i="28"/>
  <c r="HL81" i="28"/>
  <c r="HM81" i="28"/>
  <c r="HN81" i="28"/>
  <c r="HO81" i="28"/>
  <c r="HP81" i="28"/>
  <c r="HQ81" i="28"/>
  <c r="HR81" i="28"/>
  <c r="HS81" i="28"/>
  <c r="HT81" i="28"/>
  <c r="HU81" i="28"/>
  <c r="HV81" i="28"/>
  <c r="HW81" i="28"/>
  <c r="HX81" i="28"/>
  <c r="HY81" i="28"/>
  <c r="HZ81" i="28"/>
  <c r="IA81" i="28"/>
  <c r="IB81" i="28"/>
  <c r="IC81" i="28"/>
  <c r="ID81" i="28"/>
  <c r="IE81" i="28"/>
  <c r="IF81" i="28"/>
  <c r="IG81" i="28"/>
  <c r="IH81" i="28"/>
  <c r="II81" i="28"/>
  <c r="IJ81" i="28"/>
  <c r="IK81" i="28"/>
  <c r="IL81" i="28"/>
  <c r="IM81" i="28"/>
  <c r="IN81" i="28"/>
  <c r="IO81" i="28"/>
  <c r="IP81" i="28"/>
  <c r="IQ81" i="28"/>
  <c r="IR81" i="28"/>
  <c r="IS81" i="28"/>
  <c r="IT81" i="28"/>
  <c r="IU81" i="28"/>
  <c r="IV81" i="28"/>
  <c r="A80" i="28"/>
  <c r="B80" i="28"/>
  <c r="C80" i="28"/>
  <c r="D80" i="28"/>
  <c r="E80" i="28"/>
  <c r="F80" i="28"/>
  <c r="G80" i="28"/>
  <c r="H80" i="28"/>
  <c r="I80" i="28"/>
  <c r="J80" i="28"/>
  <c r="K80" i="28"/>
  <c r="L80" i="28"/>
  <c r="M80" i="28"/>
  <c r="N80" i="28"/>
  <c r="O80" i="28"/>
  <c r="P80" i="28"/>
  <c r="Q80" i="28"/>
  <c r="R80" i="28"/>
  <c r="S80" i="28"/>
  <c r="T80" i="28"/>
  <c r="U80" i="28"/>
  <c r="V80" i="28"/>
  <c r="W80" i="28"/>
  <c r="X80" i="28"/>
  <c r="Y80" i="28"/>
  <c r="Z80" i="28"/>
  <c r="AA80" i="28"/>
  <c r="AB80" i="28"/>
  <c r="AC80" i="28"/>
  <c r="AD80" i="28"/>
  <c r="AE80" i="28"/>
  <c r="AF80" i="28"/>
  <c r="AG80" i="28"/>
  <c r="AH80" i="28"/>
  <c r="AI80" i="28"/>
  <c r="AJ80" i="28"/>
  <c r="AK80" i="28"/>
  <c r="AL80" i="28"/>
  <c r="AM80" i="28"/>
  <c r="AN80" i="28"/>
  <c r="AO80" i="28"/>
  <c r="AP80" i="28"/>
  <c r="AQ80" i="28"/>
  <c r="AR80" i="28"/>
  <c r="AS80" i="28"/>
  <c r="AT80" i="28"/>
  <c r="AU80" i="28"/>
  <c r="AV80" i="28"/>
  <c r="AW80" i="28"/>
  <c r="AX80" i="28"/>
  <c r="AY80" i="28"/>
  <c r="AZ80" i="28"/>
  <c r="BA80" i="28"/>
  <c r="BB80" i="28"/>
  <c r="BC80" i="28"/>
  <c r="BD80" i="28"/>
  <c r="BE80" i="28"/>
  <c r="BF80" i="28"/>
  <c r="BG80" i="28"/>
  <c r="BH80" i="28"/>
  <c r="BI80" i="28"/>
  <c r="BJ80" i="28"/>
  <c r="BK80" i="28"/>
  <c r="BL80" i="28"/>
  <c r="BM80" i="28"/>
  <c r="BN80" i="28"/>
  <c r="BO80" i="28"/>
  <c r="BP80" i="28"/>
  <c r="BQ80" i="28"/>
  <c r="BR80" i="28"/>
  <c r="BS80" i="28"/>
  <c r="BT80" i="28"/>
  <c r="BU80" i="28"/>
  <c r="BV80" i="28"/>
  <c r="BW80" i="28"/>
  <c r="BX80" i="28"/>
  <c r="BY80" i="28"/>
  <c r="BZ80" i="28"/>
  <c r="CA80" i="28"/>
  <c r="CB80" i="28"/>
  <c r="CC80" i="28"/>
  <c r="CD80" i="28"/>
  <c r="CE80" i="28"/>
  <c r="CF80" i="28"/>
  <c r="CG80" i="28"/>
  <c r="CH80" i="28"/>
  <c r="CI80" i="28"/>
  <c r="CJ80" i="28"/>
  <c r="CK80" i="28"/>
  <c r="CL80" i="28"/>
  <c r="CM80" i="28"/>
  <c r="CN80" i="28"/>
  <c r="CO80" i="28"/>
  <c r="CP80" i="28"/>
  <c r="CQ80" i="28"/>
  <c r="CR80" i="28"/>
  <c r="CS80" i="28"/>
  <c r="CT80" i="28"/>
  <c r="CU80" i="28"/>
  <c r="CV80" i="28"/>
  <c r="CW80" i="28"/>
  <c r="CX80" i="28"/>
  <c r="CY80" i="28"/>
  <c r="CZ80" i="28"/>
  <c r="DA80" i="28"/>
  <c r="DB80" i="28"/>
  <c r="DC80" i="28"/>
  <c r="DD80" i="28"/>
  <c r="DE80" i="28"/>
  <c r="DF80" i="28"/>
  <c r="DG80" i="28"/>
  <c r="DH80" i="28"/>
  <c r="DI80" i="28"/>
  <c r="DJ80" i="28"/>
  <c r="DK80" i="28"/>
  <c r="DL80" i="28"/>
  <c r="DM80" i="28"/>
  <c r="DN80" i="28"/>
  <c r="DO80" i="28"/>
  <c r="DP80" i="28"/>
  <c r="DQ80" i="28"/>
  <c r="DR80" i="28"/>
  <c r="DS80" i="28"/>
  <c r="DT80" i="28"/>
  <c r="DU80" i="28"/>
  <c r="DV80" i="28"/>
  <c r="DW80" i="28"/>
  <c r="DX80" i="28"/>
  <c r="DY80" i="28"/>
  <c r="DZ80" i="28"/>
  <c r="EA80" i="28"/>
  <c r="EB80" i="28"/>
  <c r="EC80" i="28"/>
  <c r="ED80" i="28"/>
  <c r="EE80" i="28"/>
  <c r="EF80" i="28"/>
  <c r="EG80" i="28"/>
  <c r="EH80" i="28"/>
  <c r="EI80" i="28"/>
  <c r="EJ80" i="28"/>
  <c r="EK80" i="28"/>
  <c r="EL80" i="28"/>
  <c r="EM80" i="28"/>
  <c r="EN80" i="28"/>
  <c r="EO80" i="28"/>
  <c r="EP80" i="28"/>
  <c r="EQ80" i="28"/>
  <c r="ER80" i="28"/>
  <c r="ES80" i="28"/>
  <c r="ET80" i="28"/>
  <c r="EU80" i="28"/>
  <c r="EV80" i="28"/>
  <c r="EW80" i="28"/>
  <c r="EX80" i="28"/>
  <c r="EY80" i="28"/>
  <c r="EZ80" i="28"/>
  <c r="FA80" i="28"/>
  <c r="FB80" i="28"/>
  <c r="FC80" i="28"/>
  <c r="FD80" i="28"/>
  <c r="FE80" i="28"/>
  <c r="FF80" i="28"/>
  <c r="FG80" i="28"/>
  <c r="FH80" i="28"/>
  <c r="FI80" i="28"/>
  <c r="FJ80" i="28"/>
  <c r="FK80" i="28"/>
  <c r="FL80" i="28"/>
  <c r="FM80" i="28"/>
  <c r="FN80" i="28"/>
  <c r="FO80" i="28"/>
  <c r="FP80" i="28"/>
  <c r="FQ80" i="28"/>
  <c r="FR80" i="28"/>
  <c r="FS80" i="28"/>
  <c r="FT80" i="28"/>
  <c r="FU80" i="28"/>
  <c r="FV80" i="28"/>
  <c r="FW80" i="28"/>
  <c r="FX80" i="28"/>
  <c r="FY80" i="28"/>
  <c r="FZ80" i="28"/>
  <c r="GA80" i="28"/>
  <c r="GB80" i="28"/>
  <c r="GC80" i="28"/>
  <c r="GD80" i="28"/>
  <c r="GE80" i="28"/>
  <c r="GF80" i="28"/>
  <c r="GG80" i="28"/>
  <c r="GH80" i="28"/>
  <c r="GI80" i="28"/>
  <c r="GJ80" i="28"/>
  <c r="GK80" i="28"/>
  <c r="GL80" i="28"/>
  <c r="GM80" i="28"/>
  <c r="GN80" i="28"/>
  <c r="GO80" i="28"/>
  <c r="GP80" i="28"/>
  <c r="GQ80" i="28"/>
  <c r="GR80" i="28"/>
  <c r="GS80" i="28"/>
  <c r="GT80" i="28"/>
  <c r="GU80" i="28"/>
  <c r="GV80" i="28"/>
  <c r="GW80" i="28"/>
  <c r="GX80" i="28"/>
  <c r="GY80" i="28"/>
  <c r="GZ80" i="28"/>
  <c r="HA80" i="28"/>
  <c r="HB80" i="28"/>
  <c r="HC80" i="28"/>
  <c r="HD80" i="28"/>
  <c r="HE80" i="28"/>
  <c r="HF80" i="28"/>
  <c r="HG80" i="28"/>
  <c r="HH80" i="28"/>
  <c r="HI80" i="28"/>
  <c r="HJ80" i="28"/>
  <c r="HK80" i="28"/>
  <c r="HL80" i="28"/>
  <c r="HM80" i="28"/>
  <c r="HN80" i="28"/>
  <c r="HO80" i="28"/>
  <c r="HP80" i="28"/>
  <c r="HQ80" i="28"/>
  <c r="HR80" i="28"/>
  <c r="HS80" i="28"/>
  <c r="HT80" i="28"/>
  <c r="HU80" i="28"/>
  <c r="HV80" i="28"/>
  <c r="HW80" i="28"/>
  <c r="HX80" i="28"/>
  <c r="HY80" i="28"/>
  <c r="HZ80" i="28"/>
  <c r="IA80" i="28"/>
  <c r="IB80" i="28"/>
  <c r="IC80" i="28"/>
  <c r="ID80" i="28"/>
  <c r="IE80" i="28"/>
  <c r="IF80" i="28"/>
  <c r="IG80" i="28"/>
  <c r="IH80" i="28"/>
  <c r="II80" i="28"/>
  <c r="IJ80" i="28"/>
  <c r="IK80" i="28"/>
  <c r="IL80" i="28"/>
  <c r="IM80" i="28"/>
  <c r="IN80" i="28"/>
  <c r="IO80" i="28"/>
  <c r="IP80" i="28"/>
  <c r="IQ80" i="28"/>
  <c r="IR80" i="28"/>
  <c r="IS80" i="28"/>
  <c r="IT80" i="28"/>
  <c r="IU80" i="28"/>
  <c r="IV80" i="28"/>
  <c r="A79" i="28"/>
  <c r="B79" i="28"/>
  <c r="C79" i="28"/>
  <c r="D79" i="28"/>
  <c r="E79" i="28"/>
  <c r="F79" i="28"/>
  <c r="G79" i="28"/>
  <c r="H79" i="28"/>
  <c r="I79" i="28"/>
  <c r="J79" i="28"/>
  <c r="K79" i="28"/>
  <c r="L79" i="28"/>
  <c r="M79" i="28"/>
  <c r="N79" i="28"/>
  <c r="O79" i="28"/>
  <c r="P79" i="28"/>
  <c r="Q79" i="28"/>
  <c r="R79" i="28"/>
  <c r="S79" i="28"/>
  <c r="T79" i="28"/>
  <c r="U79" i="28"/>
  <c r="V79" i="28"/>
  <c r="W79" i="28"/>
  <c r="X79" i="28"/>
  <c r="Y79" i="28"/>
  <c r="Z79" i="28"/>
  <c r="AA79" i="28"/>
  <c r="AB79" i="28"/>
  <c r="AC79" i="28"/>
  <c r="AD79" i="28"/>
  <c r="AE79" i="28"/>
  <c r="AF79" i="28"/>
  <c r="AG79" i="28"/>
  <c r="AH79" i="28"/>
  <c r="AI79" i="28"/>
  <c r="AJ79" i="28"/>
  <c r="AK79" i="28"/>
  <c r="AL79" i="28"/>
  <c r="AM79" i="28"/>
  <c r="AN79" i="28"/>
  <c r="AO79" i="28"/>
  <c r="AP79" i="28"/>
  <c r="AQ79" i="28"/>
  <c r="AR79" i="28"/>
  <c r="AS79" i="28"/>
  <c r="AT79" i="28"/>
  <c r="AU79" i="28"/>
  <c r="AV79" i="28"/>
  <c r="AW79" i="28"/>
  <c r="AX79" i="28"/>
  <c r="AY79" i="28"/>
  <c r="AZ79" i="28"/>
  <c r="BA79" i="28"/>
  <c r="BB79" i="28"/>
  <c r="BC79" i="28"/>
  <c r="BD79" i="28"/>
  <c r="BE79" i="28"/>
  <c r="BF79" i="28"/>
  <c r="BG79" i="28"/>
  <c r="BH79" i="28"/>
  <c r="BI79" i="28"/>
  <c r="BJ79" i="28"/>
  <c r="BK79" i="28"/>
  <c r="BL79" i="28"/>
  <c r="BM79" i="28"/>
  <c r="BN79" i="28"/>
  <c r="BO79" i="28"/>
  <c r="BP79" i="28"/>
  <c r="BQ79" i="28"/>
  <c r="BR79" i="28"/>
  <c r="BS79" i="28"/>
  <c r="BT79" i="28"/>
  <c r="BU79" i="28"/>
  <c r="BV79" i="28"/>
  <c r="BW79" i="28"/>
  <c r="BX79" i="28"/>
  <c r="BY79" i="28"/>
  <c r="BZ79" i="28"/>
  <c r="CA79" i="28"/>
  <c r="CB79" i="28"/>
  <c r="CC79" i="28"/>
  <c r="CD79" i="28"/>
  <c r="CE79" i="28"/>
  <c r="CF79" i="28"/>
  <c r="CG79" i="28"/>
  <c r="CH79" i="28"/>
  <c r="CI79" i="28"/>
  <c r="CJ79" i="28"/>
  <c r="CK79" i="28"/>
  <c r="CL79" i="28"/>
  <c r="CM79" i="28"/>
  <c r="CN79" i="28"/>
  <c r="CO79" i="28"/>
  <c r="CP79" i="28"/>
  <c r="CQ79" i="28"/>
  <c r="CR79" i="28"/>
  <c r="CS79" i="28"/>
  <c r="CT79" i="28"/>
  <c r="CU79" i="28"/>
  <c r="CV79" i="28"/>
  <c r="CW79" i="28"/>
  <c r="CX79" i="28"/>
  <c r="CY79" i="28"/>
  <c r="CZ79" i="28"/>
  <c r="DA79" i="28"/>
  <c r="DB79" i="28"/>
  <c r="DC79" i="28"/>
  <c r="DD79" i="28"/>
  <c r="DE79" i="28"/>
  <c r="DF79" i="28"/>
  <c r="DG79" i="28"/>
  <c r="DH79" i="28"/>
  <c r="DI79" i="28"/>
  <c r="DJ79" i="28"/>
  <c r="DK79" i="28"/>
  <c r="DL79" i="28"/>
  <c r="DM79" i="28"/>
  <c r="DN79" i="28"/>
  <c r="DO79" i="28"/>
  <c r="DP79" i="28"/>
  <c r="DQ79" i="28"/>
  <c r="DR79" i="28"/>
  <c r="DS79" i="28"/>
  <c r="DT79" i="28"/>
  <c r="DU79" i="28"/>
  <c r="DV79" i="28"/>
  <c r="DW79" i="28"/>
  <c r="DX79" i="28"/>
  <c r="DY79" i="28"/>
  <c r="DZ79" i="28"/>
  <c r="EA79" i="28"/>
  <c r="EB79" i="28"/>
  <c r="EC79" i="28"/>
  <c r="ED79" i="28"/>
  <c r="EE79" i="28"/>
  <c r="EF79" i="28"/>
  <c r="EG79" i="28"/>
  <c r="EH79" i="28"/>
  <c r="EI79" i="28"/>
  <c r="EJ79" i="28"/>
  <c r="EK79" i="28"/>
  <c r="EL79" i="28"/>
  <c r="EM79" i="28"/>
  <c r="EN79" i="28"/>
  <c r="EO79" i="28"/>
  <c r="EP79" i="28"/>
  <c r="EQ79" i="28"/>
  <c r="ER79" i="28"/>
  <c r="ES79" i="28"/>
  <c r="ET79" i="28"/>
  <c r="EU79" i="28"/>
  <c r="EV79" i="28"/>
  <c r="EW79" i="28"/>
  <c r="EX79" i="28"/>
  <c r="EY79" i="28"/>
  <c r="EZ79" i="28"/>
  <c r="FA79" i="28"/>
  <c r="FB79" i="28"/>
  <c r="FC79" i="28"/>
  <c r="FD79" i="28"/>
  <c r="FE79" i="28"/>
  <c r="FF79" i="28"/>
  <c r="FG79" i="28"/>
  <c r="FH79" i="28"/>
  <c r="FI79" i="28"/>
  <c r="FJ79" i="28"/>
  <c r="FK79" i="28"/>
  <c r="FL79" i="28"/>
  <c r="FM79" i="28"/>
  <c r="FN79" i="28"/>
  <c r="FO79" i="28"/>
  <c r="FP79" i="28"/>
  <c r="FQ79" i="28"/>
  <c r="FR79" i="28"/>
  <c r="FS79" i="28"/>
  <c r="FT79" i="28"/>
  <c r="FU79" i="28"/>
  <c r="FV79" i="28"/>
  <c r="FW79" i="28"/>
  <c r="FX79" i="28"/>
  <c r="FY79" i="28"/>
  <c r="FZ79" i="28"/>
  <c r="GA79" i="28"/>
  <c r="GB79" i="28"/>
  <c r="GC79" i="28"/>
  <c r="GD79" i="28"/>
  <c r="GE79" i="28"/>
  <c r="GF79" i="28"/>
  <c r="GG79" i="28"/>
  <c r="GH79" i="28"/>
  <c r="GI79" i="28"/>
  <c r="GJ79" i="28"/>
  <c r="GK79" i="28"/>
  <c r="GL79" i="28"/>
  <c r="GM79" i="28"/>
  <c r="GN79" i="28"/>
  <c r="GO79" i="28"/>
  <c r="GP79" i="28"/>
  <c r="GQ79" i="28"/>
  <c r="GR79" i="28"/>
  <c r="GS79" i="28"/>
  <c r="GT79" i="28"/>
  <c r="GU79" i="28"/>
  <c r="GV79" i="28"/>
  <c r="GW79" i="28"/>
  <c r="GX79" i="28"/>
  <c r="GY79" i="28"/>
  <c r="GZ79" i="28"/>
  <c r="HA79" i="28"/>
  <c r="HB79" i="28"/>
  <c r="HC79" i="28"/>
  <c r="HD79" i="28"/>
  <c r="HE79" i="28"/>
  <c r="HF79" i="28"/>
  <c r="HG79" i="28"/>
  <c r="HH79" i="28"/>
  <c r="HI79" i="28"/>
  <c r="HJ79" i="28"/>
  <c r="HK79" i="28"/>
  <c r="HL79" i="28"/>
  <c r="HM79" i="28"/>
  <c r="HN79" i="28"/>
  <c r="HO79" i="28"/>
  <c r="HP79" i="28"/>
  <c r="HQ79" i="28"/>
  <c r="HR79" i="28"/>
  <c r="HS79" i="28"/>
  <c r="HT79" i="28"/>
  <c r="HU79" i="28"/>
  <c r="HV79" i="28"/>
  <c r="HW79" i="28"/>
  <c r="HX79" i="28"/>
  <c r="HY79" i="28"/>
  <c r="HZ79" i="28"/>
  <c r="IA79" i="28"/>
  <c r="IB79" i="28"/>
  <c r="IC79" i="28"/>
  <c r="ID79" i="28"/>
  <c r="IE79" i="28"/>
  <c r="IF79" i="28"/>
  <c r="IG79" i="28"/>
  <c r="IH79" i="28"/>
  <c r="II79" i="28"/>
  <c r="IJ79" i="28"/>
  <c r="IK79" i="28"/>
  <c r="IL79" i="28"/>
  <c r="IM79" i="28"/>
  <c r="IN79" i="28"/>
  <c r="IO79" i="28"/>
  <c r="IP79" i="28"/>
  <c r="IQ79" i="28"/>
  <c r="IR79" i="28"/>
  <c r="IS79" i="28"/>
  <c r="IT79" i="28"/>
  <c r="IU79" i="28"/>
  <c r="IV79" i="28"/>
  <c r="A78" i="28"/>
  <c r="B78" i="28"/>
  <c r="C78" i="28"/>
  <c r="D78" i="28"/>
  <c r="E78" i="28"/>
  <c r="F78" i="28"/>
  <c r="G78" i="28"/>
  <c r="H78" i="28"/>
  <c r="I78" i="28"/>
  <c r="J78" i="28"/>
  <c r="K78" i="28"/>
  <c r="L78" i="28"/>
  <c r="M78" i="28"/>
  <c r="N78" i="28"/>
  <c r="O78" i="28"/>
  <c r="P78" i="28"/>
  <c r="Q78" i="28"/>
  <c r="R78" i="28"/>
  <c r="S78" i="28"/>
  <c r="T78" i="28"/>
  <c r="U78" i="28"/>
  <c r="V78" i="28"/>
  <c r="W78" i="28"/>
  <c r="X78" i="28"/>
  <c r="Y78" i="28"/>
  <c r="Z78" i="28"/>
  <c r="AA78" i="28"/>
  <c r="AB78" i="28"/>
  <c r="AC78" i="28"/>
  <c r="AD78" i="28"/>
  <c r="AE78" i="28"/>
  <c r="AF78" i="28"/>
  <c r="AG78" i="28"/>
  <c r="AH78" i="28"/>
  <c r="AI78" i="28"/>
  <c r="AJ78" i="28"/>
  <c r="AK78" i="28"/>
  <c r="AL78" i="28"/>
  <c r="AM78" i="28"/>
  <c r="AN78" i="28"/>
  <c r="AO78" i="28"/>
  <c r="AP78" i="28"/>
  <c r="AQ78" i="28"/>
  <c r="AR78" i="28"/>
  <c r="AS78" i="28"/>
  <c r="AT78" i="28"/>
  <c r="AU78" i="28"/>
  <c r="AV78" i="28"/>
  <c r="AW78" i="28"/>
  <c r="AX78" i="28"/>
  <c r="AY78" i="28"/>
  <c r="AZ78" i="28"/>
  <c r="BA78" i="28"/>
  <c r="BB78" i="28"/>
  <c r="BC78" i="28"/>
  <c r="BD78" i="28"/>
  <c r="BE78" i="28"/>
  <c r="BF78" i="28"/>
  <c r="BG78" i="28"/>
  <c r="BH78" i="28"/>
  <c r="BI78" i="28"/>
  <c r="BJ78" i="28"/>
  <c r="BK78" i="28"/>
  <c r="BL78" i="28"/>
  <c r="BM78" i="28"/>
  <c r="BN78" i="28"/>
  <c r="BO78" i="28"/>
  <c r="BP78" i="28"/>
  <c r="BQ78" i="28"/>
  <c r="BR78" i="28"/>
  <c r="BS78" i="28"/>
  <c r="BT78" i="28"/>
  <c r="BU78" i="28"/>
  <c r="BV78" i="28"/>
  <c r="BW78" i="28"/>
  <c r="BX78" i="28"/>
  <c r="BY78" i="28"/>
  <c r="BZ78" i="28"/>
  <c r="CA78" i="28"/>
  <c r="CB78" i="28"/>
  <c r="CC78" i="28"/>
  <c r="CD78" i="28"/>
  <c r="CE78" i="28"/>
  <c r="CF78" i="28"/>
  <c r="CG78" i="28"/>
  <c r="CH78" i="28"/>
  <c r="CI78" i="28"/>
  <c r="CJ78" i="28"/>
  <c r="CK78" i="28"/>
  <c r="CL78" i="28"/>
  <c r="CM78" i="28"/>
  <c r="CN78" i="28"/>
  <c r="CO78" i="28"/>
  <c r="CP78" i="28"/>
  <c r="CQ78" i="28"/>
  <c r="CR78" i="28"/>
  <c r="CS78" i="28"/>
  <c r="CT78" i="28"/>
  <c r="CU78" i="28"/>
  <c r="CV78" i="28"/>
  <c r="CW78" i="28"/>
  <c r="CX78" i="28"/>
  <c r="CY78" i="28"/>
  <c r="CZ78" i="28"/>
  <c r="DA78" i="28"/>
  <c r="DB78" i="28"/>
  <c r="DC78" i="28"/>
  <c r="DD78" i="28"/>
  <c r="DE78" i="28"/>
  <c r="DF78" i="28"/>
  <c r="DG78" i="28"/>
  <c r="DH78" i="28"/>
  <c r="DI78" i="28"/>
  <c r="DJ78" i="28"/>
  <c r="DK78" i="28"/>
  <c r="DL78" i="28"/>
  <c r="DM78" i="28"/>
  <c r="DN78" i="28"/>
  <c r="DO78" i="28"/>
  <c r="DP78" i="28"/>
  <c r="DQ78" i="28"/>
  <c r="DR78" i="28"/>
  <c r="DS78" i="28"/>
  <c r="DT78" i="28"/>
  <c r="DU78" i="28"/>
  <c r="DV78" i="28"/>
  <c r="DW78" i="28"/>
  <c r="DX78" i="28"/>
  <c r="DY78" i="28"/>
  <c r="DZ78" i="28"/>
  <c r="EA78" i="28"/>
  <c r="EB78" i="28"/>
  <c r="EC78" i="28"/>
  <c r="ED78" i="28"/>
  <c r="EE78" i="28"/>
  <c r="EF78" i="28"/>
  <c r="EG78" i="28"/>
  <c r="EH78" i="28"/>
  <c r="EI78" i="28"/>
  <c r="EJ78" i="28"/>
  <c r="EK78" i="28"/>
  <c r="EL78" i="28"/>
  <c r="EM78" i="28"/>
  <c r="EN78" i="28"/>
  <c r="EO78" i="28"/>
  <c r="EP78" i="28"/>
  <c r="EQ78" i="28"/>
  <c r="ER78" i="28"/>
  <c r="ES78" i="28"/>
  <c r="ET78" i="28"/>
  <c r="EU78" i="28"/>
  <c r="EV78" i="28"/>
  <c r="EW78" i="28"/>
  <c r="EX78" i="28"/>
  <c r="EY78" i="28"/>
  <c r="EZ78" i="28"/>
  <c r="FA78" i="28"/>
  <c r="FB78" i="28"/>
  <c r="FC78" i="28"/>
  <c r="FD78" i="28"/>
  <c r="FE78" i="28"/>
  <c r="FF78" i="28"/>
  <c r="FG78" i="28"/>
  <c r="FH78" i="28"/>
  <c r="FI78" i="28"/>
  <c r="FJ78" i="28"/>
  <c r="FK78" i="28"/>
  <c r="FL78" i="28"/>
  <c r="FM78" i="28"/>
  <c r="FN78" i="28"/>
  <c r="FO78" i="28"/>
  <c r="FP78" i="28"/>
  <c r="FQ78" i="28"/>
  <c r="FR78" i="28"/>
  <c r="FS78" i="28"/>
  <c r="FT78" i="28"/>
  <c r="FU78" i="28"/>
  <c r="FV78" i="28"/>
  <c r="FW78" i="28"/>
  <c r="FX78" i="28"/>
  <c r="FY78" i="28"/>
  <c r="FZ78" i="28"/>
  <c r="GA78" i="28"/>
  <c r="GB78" i="28"/>
  <c r="GC78" i="28"/>
  <c r="GD78" i="28"/>
  <c r="GE78" i="28"/>
  <c r="GF78" i="28"/>
  <c r="GG78" i="28"/>
  <c r="GH78" i="28"/>
  <c r="GI78" i="28"/>
  <c r="GJ78" i="28"/>
  <c r="GK78" i="28"/>
  <c r="GL78" i="28"/>
  <c r="GM78" i="28"/>
  <c r="GN78" i="28"/>
  <c r="GO78" i="28"/>
  <c r="GP78" i="28"/>
  <c r="GQ78" i="28"/>
  <c r="GR78" i="28"/>
  <c r="GS78" i="28"/>
  <c r="GT78" i="28"/>
  <c r="GU78" i="28"/>
  <c r="GV78" i="28"/>
  <c r="GW78" i="28"/>
  <c r="GX78" i="28"/>
  <c r="GY78" i="28"/>
  <c r="GZ78" i="28"/>
  <c r="HA78" i="28"/>
  <c r="HB78" i="28"/>
  <c r="HC78" i="28"/>
  <c r="HD78" i="28"/>
  <c r="HE78" i="28"/>
  <c r="HF78" i="28"/>
  <c r="HG78" i="28"/>
  <c r="HH78" i="28"/>
  <c r="HI78" i="28"/>
  <c r="HJ78" i="28"/>
  <c r="HK78" i="28"/>
  <c r="HL78" i="28"/>
  <c r="HM78" i="28"/>
  <c r="HN78" i="28"/>
  <c r="HO78" i="28"/>
  <c r="HP78" i="28"/>
  <c r="HQ78" i="28"/>
  <c r="HR78" i="28"/>
  <c r="HS78" i="28"/>
  <c r="HT78" i="28"/>
  <c r="HU78" i="28"/>
  <c r="HV78" i="28"/>
  <c r="HW78" i="28"/>
  <c r="HX78" i="28"/>
  <c r="HY78" i="28"/>
  <c r="HZ78" i="28"/>
  <c r="IA78" i="28"/>
  <c r="IB78" i="28"/>
  <c r="IC78" i="28"/>
  <c r="ID78" i="28"/>
  <c r="IE78" i="28"/>
  <c r="IF78" i="28"/>
  <c r="IG78" i="28"/>
  <c r="IH78" i="28"/>
  <c r="II78" i="28"/>
  <c r="IJ78" i="28"/>
  <c r="IK78" i="28"/>
  <c r="IL78" i="28"/>
  <c r="IM78" i="28"/>
  <c r="IN78" i="28"/>
  <c r="IO78" i="28"/>
  <c r="IP78" i="28"/>
  <c r="IQ78" i="28"/>
  <c r="IR78" i="28"/>
  <c r="IS78" i="28"/>
  <c r="IT78" i="28"/>
  <c r="IU78" i="28"/>
  <c r="IV78" i="28"/>
  <c r="A77" i="28"/>
  <c r="B77" i="28"/>
  <c r="C77" i="28"/>
  <c r="D77" i="28"/>
  <c r="E77" i="28"/>
  <c r="F77" i="28"/>
  <c r="G77" i="28"/>
  <c r="H77" i="28"/>
  <c r="I77" i="28"/>
  <c r="J77" i="28"/>
  <c r="K77" i="28"/>
  <c r="L77" i="28"/>
  <c r="M77" i="28"/>
  <c r="N77" i="28"/>
  <c r="O77" i="28"/>
  <c r="P77" i="28"/>
  <c r="Q77" i="28"/>
  <c r="R77" i="28"/>
  <c r="S77" i="28"/>
  <c r="T77" i="28"/>
  <c r="U77" i="28"/>
  <c r="V77" i="28"/>
  <c r="W77" i="28"/>
  <c r="X77" i="28"/>
  <c r="Y77" i="28"/>
  <c r="Z77" i="28"/>
  <c r="AA77" i="28"/>
  <c r="AB77" i="28"/>
  <c r="AC77" i="28"/>
  <c r="AD77" i="28"/>
  <c r="AE77" i="28"/>
  <c r="AF77" i="28"/>
  <c r="AG77" i="28"/>
  <c r="AH77" i="28"/>
  <c r="AI77" i="28"/>
  <c r="AJ77" i="28"/>
  <c r="AK77" i="28"/>
  <c r="AL77" i="28"/>
  <c r="AM77" i="28"/>
  <c r="AN77" i="28"/>
  <c r="AO77" i="28"/>
  <c r="AP77" i="28"/>
  <c r="AQ77" i="28"/>
  <c r="AR77" i="28"/>
  <c r="AS77" i="28"/>
  <c r="AT77" i="28"/>
  <c r="AU77" i="28"/>
  <c r="AV77" i="28"/>
  <c r="AW77" i="28"/>
  <c r="AX77" i="28"/>
  <c r="AY77" i="28"/>
  <c r="AZ77" i="28"/>
  <c r="BA77" i="28"/>
  <c r="BB77" i="28"/>
  <c r="BC77" i="28"/>
  <c r="BD77" i="28"/>
  <c r="BE77" i="28"/>
  <c r="BF77" i="28"/>
  <c r="BG77" i="28"/>
  <c r="BH77" i="28"/>
  <c r="BI77" i="28"/>
  <c r="BJ77" i="28"/>
  <c r="BK77" i="28"/>
  <c r="BL77" i="28"/>
  <c r="BM77" i="28"/>
  <c r="BN77" i="28"/>
  <c r="BO77" i="28"/>
  <c r="BP77" i="28"/>
  <c r="BQ77" i="28"/>
  <c r="BR77" i="28"/>
  <c r="BS77" i="28"/>
  <c r="BT77" i="28"/>
  <c r="BU77" i="28"/>
  <c r="BV77" i="28"/>
  <c r="BW77" i="28"/>
  <c r="BX77" i="28"/>
  <c r="BY77" i="28"/>
  <c r="BZ77" i="28"/>
  <c r="CA77" i="28"/>
  <c r="CB77" i="28"/>
  <c r="CC77" i="28"/>
  <c r="CD77" i="28"/>
  <c r="CE77" i="28"/>
  <c r="CF77" i="28"/>
  <c r="CG77" i="28"/>
  <c r="CH77" i="28"/>
  <c r="CI77" i="28"/>
  <c r="CJ77" i="28"/>
  <c r="CK77" i="28"/>
  <c r="CL77" i="28"/>
  <c r="CM77" i="28"/>
  <c r="CN77" i="28"/>
  <c r="CO77" i="28"/>
  <c r="CP77" i="28"/>
  <c r="CQ77" i="28"/>
  <c r="CR77" i="28"/>
  <c r="CS77" i="28"/>
  <c r="CT77" i="28"/>
  <c r="CU77" i="28"/>
  <c r="CV77" i="28"/>
  <c r="CW77" i="28"/>
  <c r="CX77" i="28"/>
  <c r="CY77" i="28"/>
  <c r="CZ77" i="28"/>
  <c r="DA77" i="28"/>
  <c r="DB77" i="28"/>
  <c r="DC77" i="28"/>
  <c r="DD77" i="28"/>
  <c r="DE77" i="28"/>
  <c r="DF77" i="28"/>
  <c r="DG77" i="28"/>
  <c r="DH77" i="28"/>
  <c r="DI77" i="28"/>
  <c r="DJ77" i="28"/>
  <c r="DK77" i="28"/>
  <c r="DL77" i="28"/>
  <c r="DM77" i="28"/>
  <c r="DN77" i="28"/>
  <c r="DO77" i="28"/>
  <c r="DP77" i="28"/>
  <c r="DQ77" i="28"/>
  <c r="DR77" i="28"/>
  <c r="DS77" i="28"/>
  <c r="DT77" i="28"/>
  <c r="DU77" i="28"/>
  <c r="DV77" i="28"/>
  <c r="DW77" i="28"/>
  <c r="DX77" i="28"/>
  <c r="DY77" i="28"/>
  <c r="DZ77" i="28"/>
  <c r="EA77" i="28"/>
  <c r="EB77" i="28"/>
  <c r="EC77" i="28"/>
  <c r="ED77" i="28"/>
  <c r="EE77" i="28"/>
  <c r="EF77" i="28"/>
  <c r="EG77" i="28"/>
  <c r="EH77" i="28"/>
  <c r="EI77" i="28"/>
  <c r="EJ77" i="28"/>
  <c r="EK77" i="28"/>
  <c r="EL77" i="28"/>
  <c r="EM77" i="28"/>
  <c r="EN77" i="28"/>
  <c r="EO77" i="28"/>
  <c r="EP77" i="28"/>
  <c r="EQ77" i="28"/>
  <c r="ER77" i="28"/>
  <c r="ES77" i="28"/>
  <c r="ET77" i="28"/>
  <c r="EU77" i="28"/>
  <c r="EV77" i="28"/>
  <c r="EW77" i="28"/>
  <c r="EX77" i="28"/>
  <c r="EY77" i="28"/>
  <c r="EZ77" i="28"/>
  <c r="FA77" i="28"/>
  <c r="FB77" i="28"/>
  <c r="FC77" i="28"/>
  <c r="FD77" i="28"/>
  <c r="FE77" i="28"/>
  <c r="FF77" i="28"/>
  <c r="FG77" i="28"/>
  <c r="FH77" i="28"/>
  <c r="FI77" i="28"/>
  <c r="FJ77" i="28"/>
  <c r="FK77" i="28"/>
  <c r="FL77" i="28"/>
  <c r="FM77" i="28"/>
  <c r="FN77" i="28"/>
  <c r="FO77" i="28"/>
  <c r="FP77" i="28"/>
  <c r="FQ77" i="28"/>
  <c r="FR77" i="28"/>
  <c r="FS77" i="28"/>
  <c r="FT77" i="28"/>
  <c r="FU77" i="28"/>
  <c r="FV77" i="28"/>
  <c r="FW77" i="28"/>
  <c r="FX77" i="28"/>
  <c r="FY77" i="28"/>
  <c r="FZ77" i="28"/>
  <c r="GA77" i="28"/>
  <c r="GB77" i="28"/>
  <c r="GC77" i="28"/>
  <c r="GD77" i="28"/>
  <c r="GE77" i="28"/>
  <c r="GF77" i="28"/>
  <c r="GG77" i="28"/>
  <c r="GH77" i="28"/>
  <c r="GI77" i="28"/>
  <c r="GJ77" i="28"/>
  <c r="GK77" i="28"/>
  <c r="GL77" i="28"/>
  <c r="GM77" i="28"/>
  <c r="GN77" i="28"/>
  <c r="GO77" i="28"/>
  <c r="GP77" i="28"/>
  <c r="GQ77" i="28"/>
  <c r="GR77" i="28"/>
  <c r="GS77" i="28"/>
  <c r="GT77" i="28"/>
  <c r="GU77" i="28"/>
  <c r="GV77" i="28"/>
  <c r="GW77" i="28"/>
  <c r="GX77" i="28"/>
  <c r="GY77" i="28"/>
  <c r="GZ77" i="28"/>
  <c r="HA77" i="28"/>
  <c r="HB77" i="28"/>
  <c r="HC77" i="28"/>
  <c r="HD77" i="28"/>
  <c r="HE77" i="28"/>
  <c r="HF77" i="28"/>
  <c r="HG77" i="28"/>
  <c r="HH77" i="28"/>
  <c r="HI77" i="28"/>
  <c r="HJ77" i="28"/>
  <c r="HK77" i="28"/>
  <c r="HL77" i="28"/>
  <c r="HM77" i="28"/>
  <c r="HN77" i="28"/>
  <c r="HO77" i="28"/>
  <c r="HP77" i="28"/>
  <c r="HQ77" i="28"/>
  <c r="HR77" i="28"/>
  <c r="HS77" i="28"/>
  <c r="HT77" i="28"/>
  <c r="HU77" i="28"/>
  <c r="HV77" i="28"/>
  <c r="HW77" i="28"/>
  <c r="HX77" i="28"/>
  <c r="HY77" i="28"/>
  <c r="HZ77" i="28"/>
  <c r="IA77" i="28"/>
  <c r="IB77" i="28"/>
  <c r="IC77" i="28"/>
  <c r="ID77" i="28"/>
  <c r="IE77" i="28"/>
  <c r="IF77" i="28"/>
  <c r="IG77" i="28"/>
  <c r="IH77" i="28"/>
  <c r="II77" i="28"/>
  <c r="IJ77" i="28"/>
  <c r="IK77" i="28"/>
  <c r="IL77" i="28"/>
  <c r="IM77" i="28"/>
  <c r="IN77" i="28"/>
  <c r="IO77" i="28"/>
  <c r="IP77" i="28"/>
  <c r="IQ77" i="28"/>
  <c r="IR77" i="28"/>
  <c r="IS77" i="28"/>
  <c r="IT77" i="28"/>
  <c r="IU77" i="28"/>
  <c r="IV77" i="28"/>
  <c r="A76" i="28"/>
  <c r="B76" i="28"/>
  <c r="C76" i="28"/>
  <c r="D76" i="28"/>
  <c r="E76" i="28"/>
  <c r="F76" i="28"/>
  <c r="G76" i="28"/>
  <c r="H76" i="28"/>
  <c r="I76" i="28"/>
  <c r="J76" i="28"/>
  <c r="K76" i="28"/>
  <c r="L76" i="28"/>
  <c r="M76" i="28"/>
  <c r="N76" i="28"/>
  <c r="O76" i="28"/>
  <c r="P76" i="28"/>
  <c r="Q76" i="28"/>
  <c r="R76" i="28"/>
  <c r="S76" i="28"/>
  <c r="T76" i="28"/>
  <c r="U76" i="28"/>
  <c r="V76" i="28"/>
  <c r="W76" i="28"/>
  <c r="X76" i="28"/>
  <c r="Y76" i="28"/>
  <c r="Z76" i="28"/>
  <c r="AA76" i="28"/>
  <c r="AB76" i="28"/>
  <c r="AC76" i="28"/>
  <c r="AD76" i="28"/>
  <c r="AE76" i="28"/>
  <c r="AF76" i="28"/>
  <c r="AG76" i="28"/>
  <c r="AH76" i="28"/>
  <c r="AI76" i="28"/>
  <c r="AJ76" i="28"/>
  <c r="AK76" i="28"/>
  <c r="AL76" i="28"/>
  <c r="AM76" i="28"/>
  <c r="AN76" i="28"/>
  <c r="AO76" i="28"/>
  <c r="AP76" i="28"/>
  <c r="AQ76" i="28"/>
  <c r="AR76" i="28"/>
  <c r="AS76" i="28"/>
  <c r="AT76" i="28"/>
  <c r="AU76" i="28"/>
  <c r="AV76" i="28"/>
  <c r="AW76" i="28"/>
  <c r="AX76" i="28"/>
  <c r="AY76" i="28"/>
  <c r="AZ76" i="28"/>
  <c r="BA76" i="28"/>
  <c r="BB76" i="28"/>
  <c r="BC76" i="28"/>
  <c r="BD76" i="28"/>
  <c r="BE76" i="28"/>
  <c r="BF76" i="28"/>
  <c r="BG76" i="28"/>
  <c r="BH76" i="28"/>
  <c r="BI76" i="28"/>
  <c r="BJ76" i="28"/>
  <c r="BK76" i="28"/>
  <c r="BL76" i="28"/>
  <c r="BM76" i="28"/>
  <c r="BN76" i="28"/>
  <c r="BO76" i="28"/>
  <c r="BP76" i="28"/>
  <c r="BQ76" i="28"/>
  <c r="BR76" i="28"/>
  <c r="BS76" i="28"/>
  <c r="BT76" i="28"/>
  <c r="BU76" i="28"/>
  <c r="BV76" i="28"/>
  <c r="BW76" i="28"/>
  <c r="BX76" i="28"/>
  <c r="BY76" i="28"/>
  <c r="BZ76" i="28"/>
  <c r="CA76" i="28"/>
  <c r="CB76" i="28"/>
  <c r="CC76" i="28"/>
  <c r="CD76" i="28"/>
  <c r="CE76" i="28"/>
  <c r="CF76" i="28"/>
  <c r="CG76" i="28"/>
  <c r="CH76" i="28"/>
  <c r="CI76" i="28"/>
  <c r="CJ76" i="28"/>
  <c r="CK76" i="28"/>
  <c r="CL76" i="28"/>
  <c r="CM76" i="28"/>
  <c r="CN76" i="28"/>
  <c r="CO76" i="28"/>
  <c r="CP76" i="28"/>
  <c r="CQ76" i="28"/>
  <c r="CR76" i="28"/>
  <c r="CS76" i="28"/>
  <c r="CT76" i="28"/>
  <c r="CU76" i="28"/>
  <c r="CV76" i="28"/>
  <c r="CW76" i="28"/>
  <c r="CX76" i="28"/>
  <c r="CY76" i="28"/>
  <c r="CZ76" i="28"/>
  <c r="DA76" i="28"/>
  <c r="DB76" i="28"/>
  <c r="DC76" i="28"/>
  <c r="DD76" i="28"/>
  <c r="DE76" i="28"/>
  <c r="DF76" i="28"/>
  <c r="DG76" i="28"/>
  <c r="DH76" i="28"/>
  <c r="DI76" i="28"/>
  <c r="DJ76" i="28"/>
  <c r="DK76" i="28"/>
  <c r="DL76" i="28"/>
  <c r="DM76" i="28"/>
  <c r="DN76" i="28"/>
  <c r="DO76" i="28"/>
  <c r="DP76" i="28"/>
  <c r="DQ76" i="28"/>
  <c r="DR76" i="28"/>
  <c r="DS76" i="28"/>
  <c r="DT76" i="28"/>
  <c r="DU76" i="28"/>
  <c r="DV76" i="28"/>
  <c r="DW76" i="28"/>
  <c r="DX76" i="28"/>
  <c r="DY76" i="28"/>
  <c r="DZ76" i="28"/>
  <c r="EA76" i="28"/>
  <c r="EB76" i="28"/>
  <c r="EC76" i="28"/>
  <c r="ED76" i="28"/>
  <c r="EE76" i="28"/>
  <c r="EF76" i="28"/>
  <c r="EG76" i="28"/>
  <c r="EH76" i="28"/>
  <c r="EI76" i="28"/>
  <c r="EJ76" i="28"/>
  <c r="EK76" i="28"/>
  <c r="EL76" i="28"/>
  <c r="EM76" i="28"/>
  <c r="EN76" i="28"/>
  <c r="EO76" i="28"/>
  <c r="EP76" i="28"/>
  <c r="EQ76" i="28"/>
  <c r="ER76" i="28"/>
  <c r="ES76" i="28"/>
  <c r="ET76" i="28"/>
  <c r="EU76" i="28"/>
  <c r="EV76" i="28"/>
  <c r="EW76" i="28"/>
  <c r="EX76" i="28"/>
  <c r="EY76" i="28"/>
  <c r="EZ76" i="28"/>
  <c r="FA76" i="28"/>
  <c r="FB76" i="28"/>
  <c r="FC76" i="28"/>
  <c r="FD76" i="28"/>
  <c r="FE76" i="28"/>
  <c r="FF76" i="28"/>
  <c r="FG76" i="28"/>
  <c r="FH76" i="28"/>
  <c r="FI76" i="28"/>
  <c r="FJ76" i="28"/>
  <c r="FK76" i="28"/>
  <c r="FL76" i="28"/>
  <c r="FM76" i="28"/>
  <c r="FN76" i="28"/>
  <c r="FO76" i="28"/>
  <c r="FP76" i="28"/>
  <c r="FQ76" i="28"/>
  <c r="FR76" i="28"/>
  <c r="FS76" i="28"/>
  <c r="FT76" i="28"/>
  <c r="FU76" i="28"/>
  <c r="FV76" i="28"/>
  <c r="FW76" i="28"/>
  <c r="FX76" i="28"/>
  <c r="FY76" i="28"/>
  <c r="FZ76" i="28"/>
  <c r="GA76" i="28"/>
  <c r="GB76" i="28"/>
  <c r="GC76" i="28"/>
  <c r="GD76" i="28"/>
  <c r="GE76" i="28"/>
  <c r="GF76" i="28"/>
  <c r="GG76" i="28"/>
  <c r="GH76" i="28"/>
  <c r="GI76" i="28"/>
  <c r="GJ76" i="28"/>
  <c r="GK76" i="28"/>
  <c r="GL76" i="28"/>
  <c r="GM76" i="28"/>
  <c r="GN76" i="28"/>
  <c r="GO76" i="28"/>
  <c r="GP76" i="28"/>
  <c r="GQ76" i="28"/>
  <c r="GR76" i="28"/>
  <c r="GS76" i="28"/>
  <c r="GT76" i="28"/>
  <c r="GU76" i="28"/>
  <c r="GV76" i="28"/>
  <c r="GW76" i="28"/>
  <c r="GX76" i="28"/>
  <c r="GY76" i="28"/>
  <c r="GZ76" i="28"/>
  <c r="HA76" i="28"/>
  <c r="HB76" i="28"/>
  <c r="HC76" i="28"/>
  <c r="HD76" i="28"/>
  <c r="HE76" i="28"/>
  <c r="HF76" i="28"/>
  <c r="HG76" i="28"/>
  <c r="HH76" i="28"/>
  <c r="HI76" i="28"/>
  <c r="HJ76" i="28"/>
  <c r="HK76" i="28"/>
  <c r="HL76" i="28"/>
  <c r="HM76" i="28"/>
  <c r="HN76" i="28"/>
  <c r="HO76" i="28"/>
  <c r="HP76" i="28"/>
  <c r="HQ76" i="28"/>
  <c r="HR76" i="28"/>
  <c r="HS76" i="28"/>
  <c r="HT76" i="28"/>
  <c r="HU76" i="28"/>
  <c r="HV76" i="28"/>
  <c r="HW76" i="28"/>
  <c r="HX76" i="28"/>
  <c r="HY76" i="28"/>
  <c r="HZ76" i="28"/>
  <c r="IA76" i="28"/>
  <c r="IB76" i="28"/>
  <c r="IC76" i="28"/>
  <c r="ID76" i="28"/>
  <c r="IE76" i="28"/>
  <c r="IF76" i="28"/>
  <c r="IG76" i="28"/>
  <c r="IH76" i="28"/>
  <c r="II76" i="28"/>
  <c r="IJ76" i="28"/>
  <c r="IK76" i="28"/>
  <c r="IL76" i="28"/>
  <c r="IM76" i="28"/>
  <c r="IN76" i="28"/>
  <c r="IO76" i="28"/>
  <c r="IP76" i="28"/>
  <c r="IQ76" i="28"/>
  <c r="IR76" i="28"/>
  <c r="IS76" i="28"/>
  <c r="IT76" i="28"/>
  <c r="IU76" i="28"/>
  <c r="IV76" i="28"/>
  <c r="A75" i="28"/>
  <c r="B75" i="28"/>
  <c r="C75" i="28"/>
  <c r="D75" i="28"/>
  <c r="E75" i="28"/>
  <c r="F75" i="28"/>
  <c r="G75" i="28"/>
  <c r="H75" i="28"/>
  <c r="I75" i="28"/>
  <c r="J75" i="28"/>
  <c r="K75" i="28"/>
  <c r="L75" i="28"/>
  <c r="M75" i="28"/>
  <c r="N75" i="28"/>
  <c r="O75" i="28"/>
  <c r="P75" i="28"/>
  <c r="Q75" i="28"/>
  <c r="R75" i="28"/>
  <c r="S75" i="28"/>
  <c r="T75" i="28"/>
  <c r="U75" i="28"/>
  <c r="V75" i="28"/>
  <c r="W75" i="28"/>
  <c r="X75" i="28"/>
  <c r="Y75" i="28"/>
  <c r="Z75" i="28"/>
  <c r="AA75" i="28"/>
  <c r="AB75" i="28"/>
  <c r="AC75" i="28"/>
  <c r="AD75" i="28"/>
  <c r="AE75" i="28"/>
  <c r="AF75" i="28"/>
  <c r="AG75" i="28"/>
  <c r="AH75" i="28"/>
  <c r="AI75" i="28"/>
  <c r="AJ75" i="28"/>
  <c r="AK75" i="28"/>
  <c r="AL75" i="28"/>
  <c r="AM75" i="28"/>
  <c r="AN75" i="28"/>
  <c r="AO75" i="28"/>
  <c r="AP75" i="28"/>
  <c r="AQ75" i="28"/>
  <c r="AR75" i="28"/>
  <c r="AS75" i="28"/>
  <c r="AT75" i="28"/>
  <c r="AU75" i="28"/>
  <c r="AV75" i="28"/>
  <c r="AW75" i="28"/>
  <c r="AX75" i="28"/>
  <c r="AY75" i="28"/>
  <c r="AZ75" i="28"/>
  <c r="BA75" i="28"/>
  <c r="BB75" i="28"/>
  <c r="BC75" i="28"/>
  <c r="BD75" i="28"/>
  <c r="BE75" i="28"/>
  <c r="BF75" i="28"/>
  <c r="BG75" i="28"/>
  <c r="BH75" i="28"/>
  <c r="BI75" i="28"/>
  <c r="BJ75" i="28"/>
  <c r="BK75" i="28"/>
  <c r="BL75" i="28"/>
  <c r="BM75" i="28"/>
  <c r="BN75" i="28"/>
  <c r="BO75" i="28"/>
  <c r="BP75" i="28"/>
  <c r="BQ75" i="28"/>
  <c r="BR75" i="28"/>
  <c r="BS75" i="28"/>
  <c r="BT75" i="28"/>
  <c r="BU75" i="28"/>
  <c r="BV75" i="28"/>
  <c r="BW75" i="28"/>
  <c r="BX75" i="28"/>
  <c r="BY75" i="28"/>
  <c r="BZ75" i="28"/>
  <c r="CA75" i="28"/>
  <c r="CB75" i="28"/>
  <c r="CC75" i="28"/>
  <c r="CD75" i="28"/>
  <c r="CE75" i="28"/>
  <c r="CF75" i="28"/>
  <c r="CG75" i="28"/>
  <c r="CH75" i="28"/>
  <c r="CI75" i="28"/>
  <c r="CJ75" i="28"/>
  <c r="CK75" i="28"/>
  <c r="CL75" i="28"/>
  <c r="CM75" i="28"/>
  <c r="CN75" i="28"/>
  <c r="CO75" i="28"/>
  <c r="CP75" i="28"/>
  <c r="CQ75" i="28"/>
  <c r="CR75" i="28"/>
  <c r="CS75" i="28"/>
  <c r="CT75" i="28"/>
  <c r="CU75" i="28"/>
  <c r="CV75" i="28"/>
  <c r="CW75" i="28"/>
  <c r="CX75" i="28"/>
  <c r="CY75" i="28"/>
  <c r="CZ75" i="28"/>
  <c r="DA75" i="28"/>
  <c r="DB75" i="28"/>
  <c r="DC75" i="28"/>
  <c r="DD75" i="28"/>
  <c r="DE75" i="28"/>
  <c r="DF75" i="28"/>
  <c r="DG75" i="28"/>
  <c r="DH75" i="28"/>
  <c r="DI75" i="28"/>
  <c r="DJ75" i="28"/>
  <c r="DK75" i="28"/>
  <c r="DL75" i="28"/>
  <c r="DM75" i="28"/>
  <c r="DN75" i="28"/>
  <c r="DO75" i="28"/>
  <c r="DP75" i="28"/>
  <c r="DQ75" i="28"/>
  <c r="DR75" i="28"/>
  <c r="DS75" i="28"/>
  <c r="DT75" i="28"/>
  <c r="DU75" i="28"/>
  <c r="DV75" i="28"/>
  <c r="DW75" i="28"/>
  <c r="DX75" i="28"/>
  <c r="DY75" i="28"/>
  <c r="DZ75" i="28"/>
  <c r="EA75" i="28"/>
  <c r="EB75" i="28"/>
  <c r="EC75" i="28"/>
  <c r="ED75" i="28"/>
  <c r="EE75" i="28"/>
  <c r="EF75" i="28"/>
  <c r="EG75" i="28"/>
  <c r="EH75" i="28"/>
  <c r="EI75" i="28"/>
  <c r="EJ75" i="28"/>
  <c r="EK75" i="28"/>
  <c r="EL75" i="28"/>
  <c r="EM75" i="28"/>
  <c r="EN75" i="28"/>
  <c r="EO75" i="28"/>
  <c r="EP75" i="28"/>
  <c r="EQ75" i="28"/>
  <c r="ER75" i="28"/>
  <c r="ES75" i="28"/>
  <c r="ET75" i="28"/>
  <c r="EU75" i="28"/>
  <c r="EV75" i="28"/>
  <c r="EW75" i="28"/>
  <c r="EX75" i="28"/>
  <c r="EY75" i="28"/>
  <c r="EZ75" i="28"/>
  <c r="FA75" i="28"/>
  <c r="FB75" i="28"/>
  <c r="FC75" i="28"/>
  <c r="FD75" i="28"/>
  <c r="FE75" i="28"/>
  <c r="FF75" i="28"/>
  <c r="FG75" i="28"/>
  <c r="FH75" i="28"/>
  <c r="FI75" i="28"/>
  <c r="FJ75" i="28"/>
  <c r="FK75" i="28"/>
  <c r="FL75" i="28"/>
  <c r="FM75" i="28"/>
  <c r="FN75" i="28"/>
  <c r="FO75" i="28"/>
  <c r="FP75" i="28"/>
  <c r="FQ75" i="28"/>
  <c r="FR75" i="28"/>
  <c r="FS75" i="28"/>
  <c r="FT75" i="28"/>
  <c r="FU75" i="28"/>
  <c r="FV75" i="28"/>
  <c r="FW75" i="28"/>
  <c r="FX75" i="28"/>
  <c r="FY75" i="28"/>
  <c r="FZ75" i="28"/>
  <c r="GA75" i="28"/>
  <c r="GB75" i="28"/>
  <c r="GC75" i="28"/>
  <c r="GD75" i="28"/>
  <c r="GE75" i="28"/>
  <c r="GF75" i="28"/>
  <c r="GG75" i="28"/>
  <c r="GH75" i="28"/>
  <c r="GI75" i="28"/>
  <c r="GJ75" i="28"/>
  <c r="GK75" i="28"/>
  <c r="GL75" i="28"/>
  <c r="GM75" i="28"/>
  <c r="GN75" i="28"/>
  <c r="GO75" i="28"/>
  <c r="GP75" i="28"/>
  <c r="GQ75" i="28"/>
  <c r="GR75" i="28"/>
  <c r="GS75" i="28"/>
  <c r="GT75" i="28"/>
  <c r="GU75" i="28"/>
  <c r="GV75" i="28"/>
  <c r="GW75" i="28"/>
  <c r="GX75" i="28"/>
  <c r="GY75" i="28"/>
  <c r="GZ75" i="28"/>
  <c r="HA75" i="28"/>
  <c r="HB75" i="28"/>
  <c r="HC75" i="28"/>
  <c r="HD75" i="28"/>
  <c r="HE75" i="28"/>
  <c r="HF75" i="28"/>
  <c r="HG75" i="28"/>
  <c r="HH75" i="28"/>
  <c r="HI75" i="28"/>
  <c r="HJ75" i="28"/>
  <c r="HK75" i="28"/>
  <c r="HL75" i="28"/>
  <c r="HM75" i="28"/>
  <c r="HN75" i="28"/>
  <c r="HO75" i="28"/>
  <c r="HP75" i="28"/>
  <c r="HQ75" i="28"/>
  <c r="HR75" i="28"/>
  <c r="HS75" i="28"/>
  <c r="HT75" i="28"/>
  <c r="HU75" i="28"/>
  <c r="HV75" i="28"/>
  <c r="HW75" i="28"/>
  <c r="HX75" i="28"/>
  <c r="HY75" i="28"/>
  <c r="HZ75" i="28"/>
  <c r="IA75" i="28"/>
  <c r="IB75" i="28"/>
  <c r="IC75" i="28"/>
  <c r="ID75" i="28"/>
  <c r="IE75" i="28"/>
  <c r="IF75" i="28"/>
  <c r="IG75" i="28"/>
  <c r="IH75" i="28"/>
  <c r="II75" i="28"/>
  <c r="IJ75" i="28"/>
  <c r="IK75" i="28"/>
  <c r="IL75" i="28"/>
  <c r="IM75" i="28"/>
  <c r="IN75" i="28"/>
  <c r="IO75" i="28"/>
  <c r="IP75" i="28"/>
  <c r="IQ75" i="28"/>
  <c r="IR75" i="28"/>
  <c r="IS75" i="28"/>
  <c r="IT75" i="28"/>
  <c r="IU75" i="28"/>
  <c r="IV75" i="28"/>
  <c r="A74" i="28"/>
  <c r="B74" i="28"/>
  <c r="C74" i="28"/>
  <c r="D74" i="28"/>
  <c r="E74" i="28"/>
  <c r="F74" i="28"/>
  <c r="G74" i="28"/>
  <c r="H74" i="28"/>
  <c r="I74" i="28"/>
  <c r="J74" i="28"/>
  <c r="K74" i="28"/>
  <c r="L74" i="28"/>
  <c r="M74" i="28"/>
  <c r="N74" i="28"/>
  <c r="O74" i="28"/>
  <c r="P74" i="28"/>
  <c r="Q74" i="28"/>
  <c r="R74" i="28"/>
  <c r="S74" i="28"/>
  <c r="T74" i="28"/>
  <c r="U74" i="28"/>
  <c r="V74" i="28"/>
  <c r="W74" i="28"/>
  <c r="X74" i="28"/>
  <c r="Y74" i="28"/>
  <c r="Z74" i="28"/>
  <c r="AA74" i="28"/>
  <c r="AB74" i="28"/>
  <c r="AC74" i="28"/>
  <c r="AD74" i="28"/>
  <c r="AE74" i="28"/>
  <c r="AF74" i="28"/>
  <c r="AG74" i="28"/>
  <c r="AH74" i="28"/>
  <c r="AI74" i="28"/>
  <c r="AJ74" i="28"/>
  <c r="AK74" i="28"/>
  <c r="AL74" i="28"/>
  <c r="AM74" i="28"/>
  <c r="AN74" i="28"/>
  <c r="AO74" i="28"/>
  <c r="AP74" i="28"/>
  <c r="AQ74" i="28"/>
  <c r="AR74" i="28"/>
  <c r="AS74" i="28"/>
  <c r="AT74" i="28"/>
  <c r="AU74" i="28"/>
  <c r="AV74" i="28"/>
  <c r="AW74" i="28"/>
  <c r="AX74" i="28"/>
  <c r="AY74" i="28"/>
  <c r="AZ74" i="28"/>
  <c r="BA74" i="28"/>
  <c r="BB74" i="28"/>
  <c r="BC74" i="28"/>
  <c r="BD74" i="28"/>
  <c r="BE74" i="28"/>
  <c r="BF74" i="28"/>
  <c r="BG74" i="28"/>
  <c r="BH74" i="28"/>
  <c r="BI74" i="28"/>
  <c r="BJ74" i="28"/>
  <c r="BK74" i="28"/>
  <c r="BL74" i="28"/>
  <c r="BM74" i="28"/>
  <c r="BN74" i="28"/>
  <c r="BO74" i="28"/>
  <c r="BP74" i="28"/>
  <c r="BQ74" i="28"/>
  <c r="BR74" i="28"/>
  <c r="BS74" i="28"/>
  <c r="BT74" i="28"/>
  <c r="BU74" i="28"/>
  <c r="BV74" i="28"/>
  <c r="BW74" i="28"/>
  <c r="BX74" i="28"/>
  <c r="BY74" i="28"/>
  <c r="BZ74" i="28"/>
  <c r="CA74" i="28"/>
  <c r="CB74" i="28"/>
  <c r="CC74" i="28"/>
  <c r="CD74" i="28"/>
  <c r="CE74" i="28"/>
  <c r="CF74" i="28"/>
  <c r="CG74" i="28"/>
  <c r="CH74" i="28"/>
  <c r="CI74" i="28"/>
  <c r="CJ74" i="28"/>
  <c r="CK74" i="28"/>
  <c r="CL74" i="28"/>
  <c r="CM74" i="28"/>
  <c r="CN74" i="28"/>
  <c r="CO74" i="28"/>
  <c r="CP74" i="28"/>
  <c r="CQ74" i="28"/>
  <c r="CR74" i="28"/>
  <c r="CS74" i="28"/>
  <c r="CT74" i="28"/>
  <c r="CU74" i="28"/>
  <c r="CV74" i="28"/>
  <c r="CW74" i="28"/>
  <c r="CX74" i="28"/>
  <c r="CY74" i="28"/>
  <c r="CZ74" i="28"/>
  <c r="DA74" i="28"/>
  <c r="DB74" i="28"/>
  <c r="DC74" i="28"/>
  <c r="DD74" i="28"/>
  <c r="DE74" i="28"/>
  <c r="DF74" i="28"/>
  <c r="DG74" i="28"/>
  <c r="DH74" i="28"/>
  <c r="DI74" i="28"/>
  <c r="DJ74" i="28"/>
  <c r="DK74" i="28"/>
  <c r="DL74" i="28"/>
  <c r="DM74" i="28"/>
  <c r="DN74" i="28"/>
  <c r="DO74" i="28"/>
  <c r="DP74" i="28"/>
  <c r="DQ74" i="28"/>
  <c r="DR74" i="28"/>
  <c r="DS74" i="28"/>
  <c r="DT74" i="28"/>
  <c r="DU74" i="28"/>
  <c r="DV74" i="28"/>
  <c r="DW74" i="28"/>
  <c r="DX74" i="28"/>
  <c r="DY74" i="28"/>
  <c r="DZ74" i="28"/>
  <c r="EA74" i="28"/>
  <c r="EB74" i="28"/>
  <c r="EC74" i="28"/>
  <c r="ED74" i="28"/>
  <c r="EE74" i="28"/>
  <c r="EF74" i="28"/>
  <c r="EG74" i="28"/>
  <c r="EH74" i="28"/>
  <c r="EI74" i="28"/>
  <c r="EJ74" i="28"/>
  <c r="EK74" i="28"/>
  <c r="EL74" i="28"/>
  <c r="EM74" i="28"/>
  <c r="EN74" i="28"/>
  <c r="EO74" i="28"/>
  <c r="EP74" i="28"/>
  <c r="EQ74" i="28"/>
  <c r="ER74" i="28"/>
  <c r="ES74" i="28"/>
  <c r="ET74" i="28"/>
  <c r="EU74" i="28"/>
  <c r="EV74" i="28"/>
  <c r="EW74" i="28"/>
  <c r="EX74" i="28"/>
  <c r="EY74" i="28"/>
  <c r="EZ74" i="28"/>
  <c r="FA74" i="28"/>
  <c r="FB74" i="28"/>
  <c r="FC74" i="28"/>
  <c r="FD74" i="28"/>
  <c r="FE74" i="28"/>
  <c r="FF74" i="28"/>
  <c r="FG74" i="28"/>
  <c r="FH74" i="28"/>
  <c r="FI74" i="28"/>
  <c r="FJ74" i="28"/>
  <c r="FK74" i="28"/>
  <c r="FL74" i="28"/>
  <c r="FM74" i="28"/>
  <c r="FN74" i="28"/>
  <c r="FO74" i="28"/>
  <c r="FP74" i="28"/>
  <c r="FQ74" i="28"/>
  <c r="FR74" i="28"/>
  <c r="FS74" i="28"/>
  <c r="FT74" i="28"/>
  <c r="FU74" i="28"/>
  <c r="FV74" i="28"/>
  <c r="FW74" i="28"/>
  <c r="FX74" i="28"/>
  <c r="FY74" i="28"/>
  <c r="FZ74" i="28"/>
  <c r="GA74" i="28"/>
  <c r="GB74" i="28"/>
  <c r="GC74" i="28"/>
  <c r="GD74" i="28"/>
  <c r="GE74" i="28"/>
  <c r="GF74" i="28"/>
  <c r="GG74" i="28"/>
  <c r="GH74" i="28"/>
  <c r="GI74" i="28"/>
  <c r="GJ74" i="28"/>
  <c r="GK74" i="28"/>
  <c r="GL74" i="28"/>
  <c r="GM74" i="28"/>
  <c r="GN74" i="28"/>
  <c r="GO74" i="28"/>
  <c r="GP74" i="28"/>
  <c r="GQ74" i="28"/>
  <c r="GR74" i="28"/>
  <c r="GS74" i="28"/>
  <c r="GT74" i="28"/>
  <c r="GU74" i="28"/>
  <c r="GV74" i="28"/>
  <c r="GW74" i="28"/>
  <c r="GX74" i="28"/>
  <c r="GY74" i="28"/>
  <c r="GZ74" i="28"/>
  <c r="HA74" i="28"/>
  <c r="HB74" i="28"/>
  <c r="HC74" i="28"/>
  <c r="HD74" i="28"/>
  <c r="HE74" i="28"/>
  <c r="HF74" i="28"/>
  <c r="HG74" i="28"/>
  <c r="HH74" i="28"/>
  <c r="HI74" i="28"/>
  <c r="HJ74" i="28"/>
  <c r="HK74" i="28"/>
  <c r="HL74" i="28"/>
  <c r="HM74" i="28"/>
  <c r="HN74" i="28"/>
  <c r="HO74" i="28"/>
  <c r="HP74" i="28"/>
  <c r="HQ74" i="28"/>
  <c r="HR74" i="28"/>
  <c r="HS74" i="28"/>
  <c r="HT74" i="28"/>
  <c r="HU74" i="28"/>
  <c r="HV74" i="28"/>
  <c r="HW74" i="28"/>
  <c r="HX74" i="28"/>
  <c r="HY74" i="28"/>
  <c r="HZ74" i="28"/>
  <c r="IA74" i="28"/>
  <c r="IB74" i="28"/>
  <c r="IC74" i="28"/>
  <c r="ID74" i="28"/>
  <c r="IE74" i="28"/>
  <c r="IF74" i="28"/>
  <c r="IG74" i="28"/>
  <c r="IH74" i="28"/>
  <c r="II74" i="28"/>
  <c r="IJ74" i="28"/>
  <c r="IK74" i="28"/>
  <c r="IL74" i="28"/>
  <c r="IM74" i="28"/>
  <c r="IN74" i="28"/>
  <c r="IO74" i="28"/>
  <c r="IP74" i="28"/>
  <c r="IQ74" i="28"/>
  <c r="IR74" i="28"/>
  <c r="IS74" i="28"/>
  <c r="IT74" i="28"/>
  <c r="IU74" i="28"/>
  <c r="IV74" i="28"/>
  <c r="A73" i="28"/>
  <c r="B73" i="28"/>
  <c r="C73" i="28"/>
  <c r="D73" i="28"/>
  <c r="E73" i="28"/>
  <c r="F73" i="28"/>
  <c r="G73" i="28"/>
  <c r="H73" i="28"/>
  <c r="I73" i="28"/>
  <c r="J73" i="28"/>
  <c r="K73" i="28"/>
  <c r="L73" i="28"/>
  <c r="M73" i="28"/>
  <c r="N73" i="28"/>
  <c r="O73" i="28"/>
  <c r="P73" i="28"/>
  <c r="Q73" i="28"/>
  <c r="R73" i="28"/>
  <c r="S73" i="28"/>
  <c r="T73" i="28"/>
  <c r="U73" i="28"/>
  <c r="V73" i="28"/>
  <c r="W73" i="28"/>
  <c r="X73" i="28"/>
  <c r="Y73" i="28"/>
  <c r="Z73" i="28"/>
  <c r="AA73" i="28"/>
  <c r="AB73" i="28"/>
  <c r="AC73" i="28"/>
  <c r="AD73" i="28"/>
  <c r="AE73" i="28"/>
  <c r="AF73" i="28"/>
  <c r="AG73" i="28"/>
  <c r="AH73" i="28"/>
  <c r="AI73" i="28"/>
  <c r="AJ73" i="28"/>
  <c r="AK73" i="28"/>
  <c r="AL73" i="28"/>
  <c r="AM73" i="28"/>
  <c r="AN73" i="28"/>
  <c r="AO73" i="28"/>
  <c r="AP73" i="28"/>
  <c r="AQ73" i="28"/>
  <c r="AR73" i="28"/>
  <c r="AS73" i="28"/>
  <c r="AT73" i="28"/>
  <c r="AU73" i="28"/>
  <c r="AV73" i="28"/>
  <c r="AW73" i="28"/>
  <c r="AX73" i="28"/>
  <c r="AY73" i="28"/>
  <c r="AZ73" i="28"/>
  <c r="BA73" i="28"/>
  <c r="BB73" i="28"/>
  <c r="BC73" i="28"/>
  <c r="BD73" i="28"/>
  <c r="BE73" i="28"/>
  <c r="BF73" i="28"/>
  <c r="BG73" i="28"/>
  <c r="BH73" i="28"/>
  <c r="BI73" i="28"/>
  <c r="BJ73" i="28"/>
  <c r="BK73" i="28"/>
  <c r="BL73" i="28"/>
  <c r="BM73" i="28"/>
  <c r="BN73" i="28"/>
  <c r="BO73" i="28"/>
  <c r="BP73" i="28"/>
  <c r="BQ73" i="28"/>
  <c r="BR73" i="28"/>
  <c r="BS73" i="28"/>
  <c r="BT73" i="28"/>
  <c r="BU73" i="28"/>
  <c r="BV73" i="28"/>
  <c r="BW73" i="28"/>
  <c r="BX73" i="28"/>
  <c r="BY73" i="28"/>
  <c r="BZ73" i="28"/>
  <c r="CA73" i="28"/>
  <c r="CB73" i="28"/>
  <c r="CC73" i="28"/>
  <c r="CD73" i="28"/>
  <c r="CE73" i="28"/>
  <c r="CF73" i="28"/>
  <c r="CG73" i="28"/>
  <c r="CH73" i="28"/>
  <c r="CI73" i="28"/>
  <c r="CJ73" i="28"/>
  <c r="CK73" i="28"/>
  <c r="CL73" i="28"/>
  <c r="CM73" i="28"/>
  <c r="CN73" i="28"/>
  <c r="CO73" i="28"/>
  <c r="CP73" i="28"/>
  <c r="CQ73" i="28"/>
  <c r="CR73" i="28"/>
  <c r="CS73" i="28"/>
  <c r="CT73" i="28"/>
  <c r="CU73" i="28"/>
  <c r="CV73" i="28"/>
  <c r="CW73" i="28"/>
  <c r="CX73" i="28"/>
  <c r="CY73" i="28"/>
  <c r="CZ73" i="28"/>
  <c r="DA73" i="28"/>
  <c r="DB73" i="28"/>
  <c r="DC73" i="28"/>
  <c r="DD73" i="28"/>
  <c r="DE73" i="28"/>
  <c r="DF73" i="28"/>
  <c r="DG73" i="28"/>
  <c r="DH73" i="28"/>
  <c r="DI73" i="28"/>
  <c r="DJ73" i="28"/>
  <c r="DK73" i="28"/>
  <c r="DL73" i="28"/>
  <c r="DM73" i="28"/>
  <c r="DN73" i="28"/>
  <c r="DO73" i="28"/>
  <c r="DP73" i="28"/>
  <c r="DQ73" i="28"/>
  <c r="DR73" i="28"/>
  <c r="DS73" i="28"/>
  <c r="DT73" i="28"/>
  <c r="DU73" i="28"/>
  <c r="DV73" i="28"/>
  <c r="DW73" i="28"/>
  <c r="DX73" i="28"/>
  <c r="DY73" i="28"/>
  <c r="DZ73" i="28"/>
  <c r="EA73" i="28"/>
  <c r="EB73" i="28"/>
  <c r="EC73" i="28"/>
  <c r="ED73" i="28"/>
  <c r="EE73" i="28"/>
  <c r="EF73" i="28"/>
  <c r="EG73" i="28"/>
  <c r="EH73" i="28"/>
  <c r="EI73" i="28"/>
  <c r="EJ73" i="28"/>
  <c r="EK73" i="28"/>
  <c r="EL73" i="28"/>
  <c r="EM73" i="28"/>
  <c r="EN73" i="28"/>
  <c r="EO73" i="28"/>
  <c r="EP73" i="28"/>
  <c r="EQ73" i="28"/>
  <c r="ER73" i="28"/>
  <c r="ES73" i="28"/>
  <c r="ET73" i="28"/>
  <c r="EU73" i="28"/>
  <c r="EV73" i="28"/>
  <c r="EW73" i="28"/>
  <c r="EX73" i="28"/>
  <c r="EY73" i="28"/>
  <c r="EZ73" i="28"/>
  <c r="FA73" i="28"/>
  <c r="FB73" i="28"/>
  <c r="FC73" i="28"/>
  <c r="FD73" i="28"/>
  <c r="FE73" i="28"/>
  <c r="FF73" i="28"/>
  <c r="FG73" i="28"/>
  <c r="FH73" i="28"/>
  <c r="FI73" i="28"/>
  <c r="FJ73" i="28"/>
  <c r="FK73" i="28"/>
  <c r="FL73" i="28"/>
  <c r="FM73" i="28"/>
  <c r="FN73" i="28"/>
  <c r="FO73" i="28"/>
  <c r="FP73" i="28"/>
  <c r="FQ73" i="28"/>
  <c r="FR73" i="28"/>
  <c r="FS73" i="28"/>
  <c r="FT73" i="28"/>
  <c r="FU73" i="28"/>
  <c r="FV73" i="28"/>
  <c r="FW73" i="28"/>
  <c r="FX73" i="28"/>
  <c r="FY73" i="28"/>
  <c r="FZ73" i="28"/>
  <c r="GA73" i="28"/>
  <c r="GB73" i="28"/>
  <c r="GC73" i="28"/>
  <c r="GD73" i="28"/>
  <c r="GE73" i="28"/>
  <c r="GF73" i="28"/>
  <c r="GG73" i="28"/>
  <c r="GH73" i="28"/>
  <c r="GI73" i="28"/>
  <c r="GJ73" i="28"/>
  <c r="GK73" i="28"/>
  <c r="GL73" i="28"/>
  <c r="GM73" i="28"/>
  <c r="GN73" i="28"/>
  <c r="GO73" i="28"/>
  <c r="GP73" i="28"/>
  <c r="GQ73" i="28"/>
  <c r="GR73" i="28"/>
  <c r="GS73" i="28"/>
  <c r="GT73" i="28"/>
  <c r="GU73" i="28"/>
  <c r="GV73" i="28"/>
  <c r="GW73" i="28"/>
  <c r="GX73" i="28"/>
  <c r="GY73" i="28"/>
  <c r="GZ73" i="28"/>
  <c r="HA73" i="28"/>
  <c r="HB73" i="28"/>
  <c r="HC73" i="28"/>
  <c r="HD73" i="28"/>
  <c r="HE73" i="28"/>
  <c r="HF73" i="28"/>
  <c r="HG73" i="28"/>
  <c r="HH73" i="28"/>
  <c r="HI73" i="28"/>
  <c r="HJ73" i="28"/>
  <c r="HK73" i="28"/>
  <c r="HL73" i="28"/>
  <c r="HM73" i="28"/>
  <c r="HN73" i="28"/>
  <c r="HO73" i="28"/>
  <c r="HP73" i="28"/>
  <c r="HQ73" i="28"/>
  <c r="HR73" i="28"/>
  <c r="HS73" i="28"/>
  <c r="HT73" i="28"/>
  <c r="HU73" i="28"/>
  <c r="HV73" i="28"/>
  <c r="HW73" i="28"/>
  <c r="HX73" i="28"/>
  <c r="HY73" i="28"/>
  <c r="HZ73" i="28"/>
  <c r="IA73" i="28"/>
  <c r="IB73" i="28"/>
  <c r="IC73" i="28"/>
  <c r="ID73" i="28"/>
  <c r="IE73" i="28"/>
  <c r="IF73" i="28"/>
  <c r="IG73" i="28"/>
  <c r="IH73" i="28"/>
  <c r="II73" i="28"/>
  <c r="IJ73" i="28"/>
  <c r="IK73" i="28"/>
  <c r="IL73" i="28"/>
  <c r="IM73" i="28"/>
  <c r="IN73" i="28"/>
  <c r="IO73" i="28"/>
  <c r="IP73" i="28"/>
  <c r="IQ73" i="28"/>
  <c r="IR73" i="28"/>
  <c r="IS73" i="28"/>
  <c r="IT73" i="28"/>
  <c r="IU73" i="28"/>
  <c r="IV73" i="28"/>
  <c r="A72" i="28"/>
  <c r="B72" i="28"/>
  <c r="C72" i="28"/>
  <c r="D72" i="28"/>
  <c r="E72" i="28"/>
  <c r="F72" i="28"/>
  <c r="G72" i="28"/>
  <c r="H72" i="28"/>
  <c r="I72" i="28"/>
  <c r="J72" i="28"/>
  <c r="K72" i="28"/>
  <c r="L72" i="28"/>
  <c r="M72" i="28"/>
  <c r="N72" i="28"/>
  <c r="O72" i="28"/>
  <c r="P72" i="28"/>
  <c r="Q72" i="28"/>
  <c r="R72" i="28"/>
  <c r="S72" i="28"/>
  <c r="T72" i="28"/>
  <c r="U72" i="28"/>
  <c r="V72" i="28"/>
  <c r="W72" i="28"/>
  <c r="X72" i="28"/>
  <c r="Y72" i="28"/>
  <c r="Z72" i="28"/>
  <c r="AA72" i="28"/>
  <c r="AB72" i="28"/>
  <c r="AC72" i="28"/>
  <c r="AD72" i="28"/>
  <c r="AE72" i="28"/>
  <c r="AF72" i="28"/>
  <c r="AG72" i="28"/>
  <c r="AH72" i="28"/>
  <c r="AI72" i="28"/>
  <c r="AJ72" i="28"/>
  <c r="AK72" i="28"/>
  <c r="AL72" i="28"/>
  <c r="AM72" i="28"/>
  <c r="AN72" i="28"/>
  <c r="AO72" i="28"/>
  <c r="AP72" i="28"/>
  <c r="AQ72" i="28"/>
  <c r="AR72" i="28"/>
  <c r="AS72" i="28"/>
  <c r="AT72" i="28"/>
  <c r="AU72" i="28"/>
  <c r="AV72" i="28"/>
  <c r="AW72" i="28"/>
  <c r="AX72" i="28"/>
  <c r="AY72" i="28"/>
  <c r="AZ72" i="28"/>
  <c r="BA72" i="28"/>
  <c r="BB72" i="28"/>
  <c r="BC72" i="28"/>
  <c r="BD72" i="28"/>
  <c r="BE72" i="28"/>
  <c r="BF72" i="28"/>
  <c r="BG72" i="28"/>
  <c r="BH72" i="28"/>
  <c r="BI72" i="28"/>
  <c r="BJ72" i="28"/>
  <c r="BK72" i="28"/>
  <c r="BL72" i="28"/>
  <c r="BM72" i="28"/>
  <c r="BN72" i="28"/>
  <c r="BO72" i="28"/>
  <c r="BP72" i="28"/>
  <c r="BQ72" i="28"/>
  <c r="BR72" i="28"/>
  <c r="BS72" i="28"/>
  <c r="BT72" i="28"/>
  <c r="BU72" i="28"/>
  <c r="BV72" i="28"/>
  <c r="BW72" i="28"/>
  <c r="BX72" i="28"/>
  <c r="BY72" i="28"/>
  <c r="BZ72" i="28"/>
  <c r="CA72" i="28"/>
  <c r="CB72" i="28"/>
  <c r="CC72" i="28"/>
  <c r="CD72" i="28"/>
  <c r="CE72" i="28"/>
  <c r="CF72" i="28"/>
  <c r="CG72" i="28"/>
  <c r="CH72" i="28"/>
  <c r="CI72" i="28"/>
  <c r="CJ72" i="28"/>
  <c r="CK72" i="28"/>
  <c r="CL72" i="28"/>
  <c r="CM72" i="28"/>
  <c r="CN72" i="28"/>
  <c r="CO72" i="28"/>
  <c r="CP72" i="28"/>
  <c r="CQ72" i="28"/>
  <c r="CR72" i="28"/>
  <c r="CS72" i="28"/>
  <c r="CT72" i="28"/>
  <c r="CU72" i="28"/>
  <c r="CV72" i="28"/>
  <c r="CW72" i="28"/>
  <c r="CX72" i="28"/>
  <c r="CY72" i="28"/>
  <c r="CZ72" i="28"/>
  <c r="DA72" i="28"/>
  <c r="DB72" i="28"/>
  <c r="DC72" i="28"/>
  <c r="DD72" i="28"/>
  <c r="DE72" i="28"/>
  <c r="DF72" i="28"/>
  <c r="DG72" i="28"/>
  <c r="DH72" i="28"/>
  <c r="DI72" i="28"/>
  <c r="DJ72" i="28"/>
  <c r="DK72" i="28"/>
  <c r="DL72" i="28"/>
  <c r="DM72" i="28"/>
  <c r="DN72" i="28"/>
  <c r="DO72" i="28"/>
  <c r="DP72" i="28"/>
  <c r="DQ72" i="28"/>
  <c r="DR72" i="28"/>
  <c r="DS72" i="28"/>
  <c r="DT72" i="28"/>
  <c r="DU72" i="28"/>
  <c r="DV72" i="28"/>
  <c r="DW72" i="28"/>
  <c r="DX72" i="28"/>
  <c r="DY72" i="28"/>
  <c r="DZ72" i="28"/>
  <c r="EA72" i="28"/>
  <c r="EB72" i="28"/>
  <c r="EC72" i="28"/>
  <c r="ED72" i="28"/>
  <c r="EE72" i="28"/>
  <c r="EF72" i="28"/>
  <c r="EG72" i="28"/>
  <c r="EH72" i="28"/>
  <c r="EI72" i="28"/>
  <c r="EJ72" i="28"/>
  <c r="EK72" i="28"/>
  <c r="EL72" i="28"/>
  <c r="EM72" i="28"/>
  <c r="EN72" i="28"/>
  <c r="EO72" i="28"/>
  <c r="EP72" i="28"/>
  <c r="EQ72" i="28"/>
  <c r="ER72" i="28"/>
  <c r="ES72" i="28"/>
  <c r="ET72" i="28"/>
  <c r="EU72" i="28"/>
  <c r="EV72" i="28"/>
  <c r="EW72" i="28"/>
  <c r="EX72" i="28"/>
  <c r="EY72" i="28"/>
  <c r="EZ72" i="28"/>
  <c r="FA72" i="28"/>
  <c r="FB72" i="28"/>
  <c r="FC72" i="28"/>
  <c r="FD72" i="28"/>
  <c r="FE72" i="28"/>
  <c r="FF72" i="28"/>
  <c r="FG72" i="28"/>
  <c r="FH72" i="28"/>
  <c r="FI72" i="28"/>
  <c r="FJ72" i="28"/>
  <c r="FK72" i="28"/>
  <c r="FL72" i="28"/>
  <c r="FM72" i="28"/>
  <c r="FN72" i="28"/>
  <c r="FO72" i="28"/>
  <c r="FP72" i="28"/>
  <c r="FQ72" i="28"/>
  <c r="FR72" i="28"/>
  <c r="FS72" i="28"/>
  <c r="FT72" i="28"/>
  <c r="FU72" i="28"/>
  <c r="FV72" i="28"/>
  <c r="FW72" i="28"/>
  <c r="FX72" i="28"/>
  <c r="FY72" i="28"/>
  <c r="FZ72" i="28"/>
  <c r="GA72" i="28"/>
  <c r="GB72" i="28"/>
  <c r="GC72" i="28"/>
  <c r="GD72" i="28"/>
  <c r="GE72" i="28"/>
  <c r="GF72" i="28"/>
  <c r="GG72" i="28"/>
  <c r="GH72" i="28"/>
  <c r="GI72" i="28"/>
  <c r="GJ72" i="28"/>
  <c r="GK72" i="28"/>
  <c r="GL72" i="28"/>
  <c r="GM72" i="28"/>
  <c r="GN72" i="28"/>
  <c r="GO72" i="28"/>
  <c r="GP72" i="28"/>
  <c r="GQ72" i="28"/>
  <c r="GR72" i="28"/>
  <c r="GS72" i="28"/>
  <c r="GT72" i="28"/>
  <c r="GU72" i="28"/>
  <c r="GV72" i="28"/>
  <c r="GW72" i="28"/>
  <c r="GX72" i="28"/>
  <c r="GY72" i="28"/>
  <c r="GZ72" i="28"/>
  <c r="HA72" i="28"/>
  <c r="HB72" i="28"/>
  <c r="HC72" i="28"/>
  <c r="HD72" i="28"/>
  <c r="HE72" i="28"/>
  <c r="HF72" i="28"/>
  <c r="HG72" i="28"/>
  <c r="HH72" i="28"/>
  <c r="HI72" i="28"/>
  <c r="HJ72" i="28"/>
  <c r="HK72" i="28"/>
  <c r="HL72" i="28"/>
  <c r="HM72" i="28"/>
  <c r="HN72" i="28"/>
  <c r="HO72" i="28"/>
  <c r="HP72" i="28"/>
  <c r="HQ72" i="28"/>
  <c r="HR72" i="28"/>
  <c r="HS72" i="28"/>
  <c r="HT72" i="28"/>
  <c r="HU72" i="28"/>
  <c r="HV72" i="28"/>
  <c r="HW72" i="28"/>
  <c r="HX72" i="28"/>
  <c r="HY72" i="28"/>
  <c r="HZ72" i="28"/>
  <c r="IA72" i="28"/>
  <c r="IB72" i="28"/>
  <c r="IC72" i="28"/>
  <c r="ID72" i="28"/>
  <c r="IE72" i="28"/>
  <c r="IF72" i="28"/>
  <c r="IG72" i="28"/>
  <c r="IH72" i="28"/>
  <c r="II72" i="28"/>
  <c r="IJ72" i="28"/>
  <c r="IK72" i="28"/>
  <c r="IL72" i="28"/>
  <c r="IM72" i="28"/>
  <c r="IN72" i="28"/>
  <c r="IO72" i="28"/>
  <c r="IP72" i="28"/>
  <c r="IQ72" i="28"/>
  <c r="IR72" i="28"/>
  <c r="IS72" i="28"/>
  <c r="IT72" i="28"/>
  <c r="IU72" i="28"/>
  <c r="IV72" i="28"/>
  <c r="A71" i="28"/>
  <c r="B71" i="28"/>
  <c r="C71" i="28"/>
  <c r="D71" i="28"/>
  <c r="E71" i="28"/>
  <c r="F71" i="28"/>
  <c r="G71" i="28"/>
  <c r="H71" i="28"/>
  <c r="I71" i="28"/>
  <c r="J71" i="28"/>
  <c r="K71" i="28"/>
  <c r="L71" i="28"/>
  <c r="M71" i="28"/>
  <c r="N71" i="28"/>
  <c r="O71" i="28"/>
  <c r="P71" i="28"/>
  <c r="Q71" i="28"/>
  <c r="R71" i="28"/>
  <c r="S71" i="28"/>
  <c r="T71" i="28"/>
  <c r="U71" i="28"/>
  <c r="V71" i="28"/>
  <c r="W71" i="28"/>
  <c r="X71" i="28"/>
  <c r="Y71" i="28"/>
  <c r="Z71" i="28"/>
  <c r="AA71" i="28"/>
  <c r="AB71" i="28"/>
  <c r="AC71" i="28"/>
  <c r="AD71" i="28"/>
  <c r="AE71" i="28"/>
  <c r="AF71" i="28"/>
  <c r="AG71" i="28"/>
  <c r="AH71" i="28"/>
  <c r="AI71" i="28"/>
  <c r="AJ71" i="28"/>
  <c r="AK71" i="28"/>
  <c r="AL71" i="28"/>
  <c r="AM71" i="28"/>
  <c r="AN71" i="28"/>
  <c r="AO71" i="28"/>
  <c r="AP71" i="28"/>
  <c r="AQ71" i="28"/>
  <c r="AR71" i="28"/>
  <c r="AS71" i="28"/>
  <c r="AT71" i="28"/>
  <c r="AU71" i="28"/>
  <c r="AV71" i="28"/>
  <c r="AW71" i="28"/>
  <c r="AX71" i="28"/>
  <c r="AY71" i="28"/>
  <c r="AZ71" i="28"/>
  <c r="BA71" i="28"/>
  <c r="BB71" i="28"/>
  <c r="BC71" i="28"/>
  <c r="BD71" i="28"/>
  <c r="BE71" i="28"/>
  <c r="BF71" i="28"/>
  <c r="BG71" i="28"/>
  <c r="BH71" i="28"/>
  <c r="BI71" i="28"/>
  <c r="BJ71" i="28"/>
  <c r="BK71" i="28"/>
  <c r="BL71" i="28"/>
  <c r="BM71" i="28"/>
  <c r="BN71" i="28"/>
  <c r="BO71" i="28"/>
  <c r="BP71" i="28"/>
  <c r="BQ71" i="28"/>
  <c r="BR71" i="28"/>
  <c r="BS71" i="28"/>
  <c r="BT71" i="28"/>
  <c r="BU71" i="28"/>
  <c r="BV71" i="28"/>
  <c r="BW71" i="28"/>
  <c r="BX71" i="28"/>
  <c r="BY71" i="28"/>
  <c r="BZ71" i="28"/>
  <c r="CA71" i="28"/>
  <c r="CB71" i="28"/>
  <c r="CC71" i="28"/>
  <c r="CD71" i="28"/>
  <c r="CE71" i="28"/>
  <c r="CF71" i="28"/>
  <c r="CG71" i="28"/>
  <c r="CH71" i="28"/>
  <c r="CI71" i="28"/>
  <c r="CJ71" i="28"/>
  <c r="CK71" i="28"/>
  <c r="CL71" i="28"/>
  <c r="CM71" i="28"/>
  <c r="CN71" i="28"/>
  <c r="CO71" i="28"/>
  <c r="CP71" i="28"/>
  <c r="CQ71" i="28"/>
  <c r="CR71" i="28"/>
  <c r="CS71" i="28"/>
  <c r="CT71" i="28"/>
  <c r="CU71" i="28"/>
  <c r="CV71" i="28"/>
  <c r="CW71" i="28"/>
  <c r="CX71" i="28"/>
  <c r="CY71" i="28"/>
  <c r="CZ71" i="28"/>
  <c r="DA71" i="28"/>
  <c r="DB71" i="28"/>
  <c r="DC71" i="28"/>
  <c r="DD71" i="28"/>
  <c r="DE71" i="28"/>
  <c r="DF71" i="28"/>
  <c r="DG71" i="28"/>
  <c r="DH71" i="28"/>
  <c r="DI71" i="28"/>
  <c r="DJ71" i="28"/>
  <c r="DK71" i="28"/>
  <c r="DL71" i="28"/>
  <c r="DM71" i="28"/>
  <c r="DN71" i="28"/>
  <c r="DO71" i="28"/>
  <c r="DP71" i="28"/>
  <c r="DQ71" i="28"/>
  <c r="DR71" i="28"/>
  <c r="DS71" i="28"/>
  <c r="DT71" i="28"/>
  <c r="DU71" i="28"/>
  <c r="DV71" i="28"/>
  <c r="DW71" i="28"/>
  <c r="DX71" i="28"/>
  <c r="DY71" i="28"/>
  <c r="DZ71" i="28"/>
  <c r="EA71" i="28"/>
  <c r="EB71" i="28"/>
  <c r="EC71" i="28"/>
  <c r="ED71" i="28"/>
  <c r="EE71" i="28"/>
  <c r="EF71" i="28"/>
  <c r="EG71" i="28"/>
  <c r="EH71" i="28"/>
  <c r="EI71" i="28"/>
  <c r="EJ71" i="28"/>
  <c r="EK71" i="28"/>
  <c r="EL71" i="28"/>
  <c r="EM71" i="28"/>
  <c r="EN71" i="28"/>
  <c r="EO71" i="28"/>
  <c r="EP71" i="28"/>
  <c r="EQ71" i="28"/>
  <c r="ER71" i="28"/>
  <c r="ES71" i="28"/>
  <c r="ET71" i="28"/>
  <c r="EU71" i="28"/>
  <c r="EV71" i="28"/>
  <c r="EW71" i="28"/>
  <c r="EX71" i="28"/>
  <c r="EY71" i="28"/>
  <c r="EZ71" i="28"/>
  <c r="FA71" i="28"/>
  <c r="FB71" i="28"/>
  <c r="FC71" i="28"/>
  <c r="FD71" i="28"/>
  <c r="FE71" i="28"/>
  <c r="FF71" i="28"/>
  <c r="FG71" i="28"/>
  <c r="FH71" i="28"/>
  <c r="FI71" i="28"/>
  <c r="FJ71" i="28"/>
  <c r="FK71" i="28"/>
  <c r="FL71" i="28"/>
  <c r="FM71" i="28"/>
  <c r="FN71" i="28"/>
  <c r="FO71" i="28"/>
  <c r="FP71" i="28"/>
  <c r="FQ71" i="28"/>
  <c r="FR71" i="28"/>
  <c r="FS71" i="28"/>
  <c r="FT71" i="28"/>
  <c r="FU71" i="28"/>
  <c r="FV71" i="28"/>
  <c r="FW71" i="28"/>
  <c r="FX71" i="28"/>
  <c r="FY71" i="28"/>
  <c r="FZ71" i="28"/>
  <c r="GA71" i="28"/>
  <c r="GB71" i="28"/>
  <c r="GC71" i="28"/>
  <c r="GD71" i="28"/>
  <c r="GE71" i="28"/>
  <c r="GF71" i="28"/>
  <c r="GG71" i="28"/>
  <c r="GH71" i="28"/>
  <c r="GI71" i="28"/>
  <c r="GJ71" i="28"/>
  <c r="GK71" i="28"/>
  <c r="GL71" i="28"/>
  <c r="GM71" i="28"/>
  <c r="GN71" i="28"/>
  <c r="GO71" i="28"/>
  <c r="GP71" i="28"/>
  <c r="GQ71" i="28"/>
  <c r="GR71" i="28"/>
  <c r="GS71" i="28"/>
  <c r="GT71" i="28"/>
  <c r="GU71" i="28"/>
  <c r="GV71" i="28"/>
  <c r="GW71" i="28"/>
  <c r="GX71" i="28"/>
  <c r="GY71" i="28"/>
  <c r="GZ71" i="28"/>
  <c r="HA71" i="28"/>
  <c r="HB71" i="28"/>
  <c r="HC71" i="28"/>
  <c r="HD71" i="28"/>
  <c r="HE71" i="28"/>
  <c r="HF71" i="28"/>
  <c r="HG71" i="28"/>
  <c r="HH71" i="28"/>
  <c r="HI71" i="28"/>
  <c r="HJ71" i="28"/>
  <c r="HK71" i="28"/>
  <c r="HL71" i="28"/>
  <c r="HM71" i="28"/>
  <c r="HN71" i="28"/>
  <c r="HO71" i="28"/>
  <c r="HP71" i="28"/>
  <c r="HQ71" i="28"/>
  <c r="HR71" i="28"/>
  <c r="HS71" i="28"/>
  <c r="HT71" i="28"/>
  <c r="HU71" i="28"/>
  <c r="HV71" i="28"/>
  <c r="HW71" i="28"/>
  <c r="HX71" i="28"/>
  <c r="HY71" i="28"/>
  <c r="HZ71" i="28"/>
  <c r="IA71" i="28"/>
  <c r="IB71" i="28"/>
  <c r="IC71" i="28"/>
  <c r="ID71" i="28"/>
  <c r="IE71" i="28"/>
  <c r="IF71" i="28"/>
  <c r="IG71" i="28"/>
  <c r="IH71" i="28"/>
  <c r="II71" i="28"/>
  <c r="IJ71" i="28"/>
  <c r="IK71" i="28"/>
  <c r="IL71" i="28"/>
  <c r="IM71" i="28"/>
  <c r="IN71" i="28"/>
  <c r="IO71" i="28"/>
  <c r="IP71" i="28"/>
  <c r="IQ71" i="28"/>
  <c r="IR71" i="28"/>
  <c r="IS71" i="28"/>
  <c r="IT71" i="28"/>
  <c r="IU71" i="28"/>
  <c r="IV71" i="28"/>
  <c r="A70" i="28"/>
  <c r="B70" i="28"/>
  <c r="C70" i="28"/>
  <c r="D70" i="28"/>
  <c r="E70" i="28"/>
  <c r="F70" i="28"/>
  <c r="G70" i="28"/>
  <c r="H70" i="28"/>
  <c r="I70" i="28"/>
  <c r="J70" i="28"/>
  <c r="K70" i="28"/>
  <c r="L70" i="28"/>
  <c r="M70" i="28"/>
  <c r="N70" i="28"/>
  <c r="O70" i="28"/>
  <c r="P70" i="28"/>
  <c r="Q70" i="28"/>
  <c r="R70" i="28"/>
  <c r="S70" i="28"/>
  <c r="T70" i="28"/>
  <c r="U70" i="28"/>
  <c r="V70" i="28"/>
  <c r="W70" i="28"/>
  <c r="X70" i="28"/>
  <c r="Y70" i="28"/>
  <c r="Z70" i="28"/>
  <c r="AA70" i="28"/>
  <c r="AB70" i="28"/>
  <c r="AC70" i="28"/>
  <c r="AD70" i="28"/>
  <c r="AE70" i="28"/>
  <c r="AF70" i="28"/>
  <c r="AG70" i="28"/>
  <c r="AH70" i="28"/>
  <c r="AI70" i="28"/>
  <c r="AJ70" i="28"/>
  <c r="AK70" i="28"/>
  <c r="AL70" i="28"/>
  <c r="AM70" i="28"/>
  <c r="AN70" i="28"/>
  <c r="AO70" i="28"/>
  <c r="AP70" i="28"/>
  <c r="AQ70" i="28"/>
  <c r="AR70" i="28"/>
  <c r="AS70" i="28"/>
  <c r="AT70" i="28"/>
  <c r="AU70" i="28"/>
  <c r="AV70" i="28"/>
  <c r="AW70" i="28"/>
  <c r="AX70" i="28"/>
  <c r="AY70" i="28"/>
  <c r="AZ70" i="28"/>
  <c r="BA70" i="28"/>
  <c r="BB70" i="28"/>
  <c r="BC70" i="28"/>
  <c r="BD70" i="28"/>
  <c r="BE70" i="28"/>
  <c r="BF70" i="28"/>
  <c r="BG70" i="28"/>
  <c r="BH70" i="28"/>
  <c r="BI70" i="28"/>
  <c r="BJ70" i="28"/>
  <c r="BK70" i="28"/>
  <c r="BL70" i="28"/>
  <c r="BM70" i="28"/>
  <c r="BN70" i="28"/>
  <c r="BO70" i="28"/>
  <c r="BP70" i="28"/>
  <c r="BQ70" i="28"/>
  <c r="BR70" i="28"/>
  <c r="BS70" i="28"/>
  <c r="BT70" i="28"/>
  <c r="BU70" i="28"/>
  <c r="BV70" i="28"/>
  <c r="BW70" i="28"/>
  <c r="BX70" i="28"/>
  <c r="BY70" i="28"/>
  <c r="BZ70" i="28"/>
  <c r="CA70" i="28"/>
  <c r="CB70" i="28"/>
  <c r="CC70" i="28"/>
  <c r="CD70" i="28"/>
  <c r="CE70" i="28"/>
  <c r="CF70" i="28"/>
  <c r="CG70" i="28"/>
  <c r="CH70" i="28"/>
  <c r="CI70" i="28"/>
  <c r="CJ70" i="28"/>
  <c r="CK70" i="28"/>
  <c r="CL70" i="28"/>
  <c r="CM70" i="28"/>
  <c r="CN70" i="28"/>
  <c r="CO70" i="28"/>
  <c r="CP70" i="28"/>
  <c r="CQ70" i="28"/>
  <c r="CR70" i="28"/>
  <c r="CS70" i="28"/>
  <c r="CT70" i="28"/>
  <c r="CU70" i="28"/>
  <c r="CV70" i="28"/>
  <c r="CW70" i="28"/>
  <c r="CX70" i="28"/>
  <c r="CY70" i="28"/>
  <c r="CZ70" i="28"/>
  <c r="DA70" i="28"/>
  <c r="DB70" i="28"/>
  <c r="DC70" i="28"/>
  <c r="DD70" i="28"/>
  <c r="DE70" i="28"/>
  <c r="DF70" i="28"/>
  <c r="DG70" i="28"/>
  <c r="DH70" i="28"/>
  <c r="DI70" i="28"/>
  <c r="DJ70" i="28"/>
  <c r="DK70" i="28"/>
  <c r="DL70" i="28"/>
  <c r="DM70" i="28"/>
  <c r="DN70" i="28"/>
  <c r="DO70" i="28"/>
  <c r="DP70" i="28"/>
  <c r="DQ70" i="28"/>
  <c r="DR70" i="28"/>
  <c r="DS70" i="28"/>
  <c r="DT70" i="28"/>
  <c r="DU70" i="28"/>
  <c r="DV70" i="28"/>
  <c r="DW70" i="28"/>
  <c r="DX70" i="28"/>
  <c r="DY70" i="28"/>
  <c r="DZ70" i="28"/>
  <c r="EA70" i="28"/>
  <c r="EB70" i="28"/>
  <c r="EC70" i="28"/>
  <c r="ED70" i="28"/>
  <c r="EE70" i="28"/>
  <c r="EF70" i="28"/>
  <c r="EG70" i="28"/>
  <c r="EH70" i="28"/>
  <c r="EI70" i="28"/>
  <c r="EJ70" i="28"/>
  <c r="EK70" i="28"/>
  <c r="EL70" i="28"/>
  <c r="EM70" i="28"/>
  <c r="EN70" i="28"/>
  <c r="EO70" i="28"/>
  <c r="EP70" i="28"/>
  <c r="EQ70" i="28"/>
  <c r="ER70" i="28"/>
  <c r="ES70" i="28"/>
  <c r="ET70" i="28"/>
  <c r="EU70" i="28"/>
  <c r="EV70" i="28"/>
  <c r="EW70" i="28"/>
  <c r="EX70" i="28"/>
  <c r="EY70" i="28"/>
  <c r="EZ70" i="28"/>
  <c r="FA70" i="28"/>
  <c r="FB70" i="28"/>
  <c r="FC70" i="28"/>
  <c r="FD70" i="28"/>
  <c r="FE70" i="28"/>
  <c r="FF70" i="28"/>
  <c r="FG70" i="28"/>
  <c r="FH70" i="28"/>
  <c r="FI70" i="28"/>
  <c r="FJ70" i="28"/>
  <c r="FK70" i="28"/>
  <c r="FL70" i="28"/>
  <c r="FM70" i="28"/>
  <c r="FN70" i="28"/>
  <c r="FO70" i="28"/>
  <c r="FP70" i="28"/>
  <c r="FQ70" i="28"/>
  <c r="FR70" i="28"/>
  <c r="FS70" i="28"/>
  <c r="FT70" i="28"/>
  <c r="FU70" i="28"/>
  <c r="FV70" i="28"/>
  <c r="FW70" i="28"/>
  <c r="FX70" i="28"/>
  <c r="FY70" i="28"/>
  <c r="FZ70" i="28"/>
  <c r="GA70" i="28"/>
  <c r="GB70" i="28"/>
  <c r="GC70" i="28"/>
  <c r="GD70" i="28"/>
  <c r="GE70" i="28"/>
  <c r="GF70" i="28"/>
  <c r="GG70" i="28"/>
  <c r="GH70" i="28"/>
  <c r="GI70" i="28"/>
  <c r="GJ70" i="28"/>
  <c r="GK70" i="28"/>
  <c r="GL70" i="28"/>
  <c r="GM70" i="28"/>
  <c r="GN70" i="28"/>
  <c r="GO70" i="28"/>
  <c r="GP70" i="28"/>
  <c r="GQ70" i="28"/>
  <c r="GR70" i="28"/>
  <c r="GS70" i="28"/>
  <c r="GT70" i="28"/>
  <c r="GU70" i="28"/>
  <c r="GV70" i="28"/>
  <c r="GW70" i="28"/>
  <c r="GX70" i="28"/>
  <c r="GY70" i="28"/>
  <c r="GZ70" i="28"/>
  <c r="HA70" i="28"/>
  <c r="HB70" i="28"/>
  <c r="HC70" i="28"/>
  <c r="HD70" i="28"/>
  <c r="HE70" i="28"/>
  <c r="HF70" i="28"/>
  <c r="HG70" i="28"/>
  <c r="HH70" i="28"/>
  <c r="HI70" i="28"/>
  <c r="HJ70" i="28"/>
  <c r="HK70" i="28"/>
  <c r="HL70" i="28"/>
  <c r="HM70" i="28"/>
  <c r="HN70" i="28"/>
  <c r="HO70" i="28"/>
  <c r="HP70" i="28"/>
  <c r="HQ70" i="28"/>
  <c r="HR70" i="28"/>
  <c r="HS70" i="28"/>
  <c r="HT70" i="28"/>
  <c r="HU70" i="28"/>
  <c r="HV70" i="28"/>
  <c r="HW70" i="28"/>
  <c r="HX70" i="28"/>
  <c r="HY70" i="28"/>
  <c r="HZ70" i="28"/>
  <c r="IA70" i="28"/>
  <c r="IB70" i="28"/>
  <c r="IC70" i="28"/>
  <c r="ID70" i="28"/>
  <c r="IE70" i="28"/>
  <c r="IF70" i="28"/>
  <c r="IG70" i="28"/>
  <c r="IH70" i="28"/>
  <c r="II70" i="28"/>
  <c r="IJ70" i="28"/>
  <c r="IK70" i="28"/>
  <c r="IL70" i="28"/>
  <c r="IM70" i="28"/>
  <c r="IN70" i="28"/>
  <c r="IO70" i="28"/>
  <c r="IP70" i="28"/>
  <c r="IQ70" i="28"/>
  <c r="IR70" i="28"/>
  <c r="IS70" i="28"/>
  <c r="IT70" i="28"/>
  <c r="IU70" i="28"/>
  <c r="IV70" i="28"/>
  <c r="A69" i="28"/>
  <c r="B69" i="28"/>
  <c r="C69" i="28"/>
  <c r="D69" i="28"/>
  <c r="E69" i="28"/>
  <c r="F69" i="28"/>
  <c r="G69" i="28"/>
  <c r="H69" i="28"/>
  <c r="I69" i="28"/>
  <c r="J69" i="28"/>
  <c r="K69" i="28"/>
  <c r="L69" i="28"/>
  <c r="M69" i="28"/>
  <c r="N69" i="28"/>
  <c r="O69" i="28"/>
  <c r="P69" i="28"/>
  <c r="Q69" i="28"/>
  <c r="R69" i="28"/>
  <c r="S69" i="28"/>
  <c r="T69" i="28"/>
  <c r="U69" i="28"/>
  <c r="V69" i="28"/>
  <c r="W69" i="28"/>
  <c r="X69" i="28"/>
  <c r="Y69" i="28"/>
  <c r="Z69" i="28"/>
  <c r="AA69" i="28"/>
  <c r="AB69" i="28"/>
  <c r="AC69" i="28"/>
  <c r="AD69" i="28"/>
  <c r="AE69" i="28"/>
  <c r="AF69" i="28"/>
  <c r="AG69" i="28"/>
  <c r="AH69" i="28"/>
  <c r="AI69" i="28"/>
  <c r="AJ69" i="28"/>
  <c r="AK69" i="28"/>
  <c r="AL69" i="28"/>
  <c r="AM69" i="28"/>
  <c r="AN69" i="28"/>
  <c r="AO69" i="28"/>
  <c r="AP69" i="28"/>
  <c r="AQ69" i="28"/>
  <c r="AR69" i="28"/>
  <c r="AS69" i="28"/>
  <c r="AT69" i="28"/>
  <c r="AU69" i="28"/>
  <c r="AV69" i="28"/>
  <c r="AW69" i="28"/>
  <c r="AX69" i="28"/>
  <c r="AY69" i="28"/>
  <c r="AZ69" i="28"/>
  <c r="BA69" i="28"/>
  <c r="BB69" i="28"/>
  <c r="BC69" i="28"/>
  <c r="BD69" i="28"/>
  <c r="BE69" i="28"/>
  <c r="BF69" i="28"/>
  <c r="BG69" i="28"/>
  <c r="BH69" i="28"/>
  <c r="BI69" i="28"/>
  <c r="BJ69" i="28"/>
  <c r="BK69" i="28"/>
  <c r="BL69" i="28"/>
  <c r="BM69" i="28"/>
  <c r="BN69" i="28"/>
  <c r="BO69" i="28"/>
  <c r="BP69" i="28"/>
  <c r="BQ69" i="28"/>
  <c r="BR69" i="28"/>
  <c r="BS69" i="28"/>
  <c r="BT69" i="28"/>
  <c r="BU69" i="28"/>
  <c r="BV69" i="28"/>
  <c r="BW69" i="28"/>
  <c r="BX69" i="28"/>
  <c r="BY69" i="28"/>
  <c r="BZ69" i="28"/>
  <c r="CA69" i="28"/>
  <c r="CB69" i="28"/>
  <c r="CC69" i="28"/>
  <c r="CD69" i="28"/>
  <c r="CE69" i="28"/>
  <c r="CF69" i="28"/>
  <c r="CG69" i="28"/>
  <c r="CH69" i="28"/>
  <c r="CI69" i="28"/>
  <c r="CJ69" i="28"/>
  <c r="CK69" i="28"/>
  <c r="CL69" i="28"/>
  <c r="CM69" i="28"/>
  <c r="CN69" i="28"/>
  <c r="CO69" i="28"/>
  <c r="CP69" i="28"/>
  <c r="CQ69" i="28"/>
  <c r="CR69" i="28"/>
  <c r="CS69" i="28"/>
  <c r="CT69" i="28"/>
  <c r="CU69" i="28"/>
  <c r="CV69" i="28"/>
  <c r="CW69" i="28"/>
  <c r="CX69" i="28"/>
  <c r="CY69" i="28"/>
  <c r="CZ69" i="28"/>
  <c r="DA69" i="28"/>
  <c r="DB69" i="28"/>
  <c r="DC69" i="28"/>
  <c r="DD69" i="28"/>
  <c r="DE69" i="28"/>
  <c r="DF69" i="28"/>
  <c r="DG69" i="28"/>
  <c r="DH69" i="28"/>
  <c r="DI69" i="28"/>
  <c r="DJ69" i="28"/>
  <c r="DK69" i="28"/>
  <c r="DL69" i="28"/>
  <c r="DM69" i="28"/>
  <c r="DN69" i="28"/>
  <c r="DO69" i="28"/>
  <c r="DP69" i="28"/>
  <c r="DQ69" i="28"/>
  <c r="DR69" i="28"/>
  <c r="DS69" i="28"/>
  <c r="DT69" i="28"/>
  <c r="DU69" i="28"/>
  <c r="DV69" i="28"/>
  <c r="DW69" i="28"/>
  <c r="DX69" i="28"/>
  <c r="DY69" i="28"/>
  <c r="DZ69" i="28"/>
  <c r="EA69" i="28"/>
  <c r="EB69" i="28"/>
  <c r="EC69" i="28"/>
  <c r="ED69" i="28"/>
  <c r="EE69" i="28"/>
  <c r="EF69" i="28"/>
  <c r="EG69" i="28"/>
  <c r="EH69" i="28"/>
  <c r="EI69" i="28"/>
  <c r="EJ69" i="28"/>
  <c r="EK69" i="28"/>
  <c r="EL69" i="28"/>
  <c r="EM69" i="28"/>
  <c r="EN69" i="28"/>
  <c r="EO69" i="28"/>
  <c r="EP69" i="28"/>
  <c r="EQ69" i="28"/>
  <c r="ER69" i="28"/>
  <c r="ES69" i="28"/>
  <c r="ET69" i="28"/>
  <c r="EU69" i="28"/>
  <c r="EV69" i="28"/>
  <c r="EW69" i="28"/>
  <c r="EX69" i="28"/>
  <c r="EY69" i="28"/>
  <c r="EZ69" i="28"/>
  <c r="FA69" i="28"/>
  <c r="FB69" i="28"/>
  <c r="FC69" i="28"/>
  <c r="FD69" i="28"/>
  <c r="FE69" i="28"/>
  <c r="FF69" i="28"/>
  <c r="FG69" i="28"/>
  <c r="FH69" i="28"/>
  <c r="FI69" i="28"/>
  <c r="FJ69" i="28"/>
  <c r="FK69" i="28"/>
  <c r="FL69" i="28"/>
  <c r="FM69" i="28"/>
  <c r="FN69" i="28"/>
  <c r="FO69" i="28"/>
  <c r="FP69" i="28"/>
  <c r="FQ69" i="28"/>
  <c r="FR69" i="28"/>
  <c r="FS69" i="28"/>
  <c r="FT69" i="28"/>
  <c r="FU69" i="28"/>
  <c r="FV69" i="28"/>
  <c r="FW69" i="28"/>
  <c r="FX69" i="28"/>
  <c r="FY69" i="28"/>
  <c r="FZ69" i="28"/>
  <c r="GA69" i="28"/>
  <c r="GB69" i="28"/>
  <c r="GC69" i="28"/>
  <c r="GD69" i="28"/>
  <c r="GE69" i="28"/>
  <c r="GF69" i="28"/>
  <c r="GG69" i="28"/>
  <c r="GH69" i="28"/>
  <c r="GI69" i="28"/>
  <c r="GJ69" i="28"/>
  <c r="GK69" i="28"/>
  <c r="GL69" i="28"/>
  <c r="GM69" i="28"/>
  <c r="GN69" i="28"/>
  <c r="GO69" i="28"/>
  <c r="GP69" i="28"/>
  <c r="GQ69" i="28"/>
  <c r="GR69" i="28"/>
  <c r="GS69" i="28"/>
  <c r="GT69" i="28"/>
  <c r="GU69" i="28"/>
  <c r="GV69" i="28"/>
  <c r="GW69" i="28"/>
  <c r="GX69" i="28"/>
  <c r="GY69" i="28"/>
  <c r="GZ69" i="28"/>
  <c r="HA69" i="28"/>
  <c r="HB69" i="28"/>
  <c r="HC69" i="28"/>
  <c r="HD69" i="28"/>
  <c r="HE69" i="28"/>
  <c r="HF69" i="28"/>
  <c r="HG69" i="28"/>
  <c r="HH69" i="28"/>
  <c r="HI69" i="28"/>
  <c r="HJ69" i="28"/>
  <c r="HK69" i="28"/>
  <c r="HL69" i="28"/>
  <c r="HM69" i="28"/>
  <c r="HN69" i="28"/>
  <c r="HO69" i="28"/>
  <c r="HP69" i="28"/>
  <c r="HQ69" i="28"/>
  <c r="HR69" i="28"/>
  <c r="HS69" i="28"/>
  <c r="HT69" i="28"/>
  <c r="HU69" i="28"/>
  <c r="HV69" i="28"/>
  <c r="HW69" i="28"/>
  <c r="HX69" i="28"/>
  <c r="HY69" i="28"/>
  <c r="HZ69" i="28"/>
  <c r="IA69" i="28"/>
  <c r="IB69" i="28"/>
  <c r="IC69" i="28"/>
  <c r="ID69" i="28"/>
  <c r="IE69" i="28"/>
  <c r="IF69" i="28"/>
  <c r="IG69" i="28"/>
  <c r="IH69" i="28"/>
  <c r="II69" i="28"/>
  <c r="IJ69" i="28"/>
  <c r="IK69" i="28"/>
  <c r="IL69" i="28"/>
  <c r="IM69" i="28"/>
  <c r="IN69" i="28"/>
  <c r="IO69" i="28"/>
  <c r="IP69" i="28"/>
  <c r="IQ69" i="28"/>
  <c r="IR69" i="28"/>
  <c r="IS69" i="28"/>
  <c r="IT69" i="28"/>
  <c r="IU69" i="28"/>
  <c r="IV69" i="28"/>
  <c r="A68" i="28"/>
  <c r="B68" i="28"/>
  <c r="C68" i="28"/>
  <c r="D68" i="28"/>
  <c r="E68" i="28"/>
  <c r="F68" i="28"/>
  <c r="G68" i="28"/>
  <c r="H68" i="28"/>
  <c r="I68" i="28"/>
  <c r="J68" i="28"/>
  <c r="K68" i="28"/>
  <c r="L68" i="28"/>
  <c r="M68" i="28"/>
  <c r="N68" i="28"/>
  <c r="O68" i="28"/>
  <c r="P68" i="28"/>
  <c r="Q68" i="28"/>
  <c r="R68" i="28"/>
  <c r="S68" i="28"/>
  <c r="T68" i="28"/>
  <c r="U68" i="28"/>
  <c r="V68" i="28"/>
  <c r="W68" i="28"/>
  <c r="X68" i="28"/>
  <c r="Y68" i="28"/>
  <c r="Z68" i="28"/>
  <c r="AA68" i="28"/>
  <c r="AB68" i="28"/>
  <c r="AC68" i="28"/>
  <c r="AD68" i="28"/>
  <c r="AE68" i="28"/>
  <c r="AF68" i="28"/>
  <c r="AG68" i="28"/>
  <c r="AH68" i="28"/>
  <c r="AI68" i="28"/>
  <c r="AJ68" i="28"/>
  <c r="AK68" i="28"/>
  <c r="AL68" i="28"/>
  <c r="AM68" i="28"/>
  <c r="AN68" i="28"/>
  <c r="AO68" i="28"/>
  <c r="AP68" i="28"/>
  <c r="AQ68" i="28"/>
  <c r="AR68" i="28"/>
  <c r="AS68" i="28"/>
  <c r="AT68" i="28"/>
  <c r="AU68" i="28"/>
  <c r="AV68" i="28"/>
  <c r="AW68" i="28"/>
  <c r="AX68" i="28"/>
  <c r="AY68" i="28"/>
  <c r="AZ68" i="28"/>
  <c r="BA68" i="28"/>
  <c r="BB68" i="28"/>
  <c r="BC68" i="28"/>
  <c r="BD68" i="28"/>
  <c r="BE68" i="28"/>
  <c r="BF68" i="28"/>
  <c r="BG68" i="28"/>
  <c r="BH68" i="28"/>
  <c r="BI68" i="28"/>
  <c r="BJ68" i="28"/>
  <c r="BK68" i="28"/>
  <c r="BL68" i="28"/>
  <c r="BM68" i="28"/>
  <c r="BN68" i="28"/>
  <c r="BO68" i="28"/>
  <c r="BP68" i="28"/>
  <c r="BQ68" i="28"/>
  <c r="BR68" i="28"/>
  <c r="BS68" i="28"/>
  <c r="BT68" i="28"/>
  <c r="BU68" i="28"/>
  <c r="BV68" i="28"/>
  <c r="BW68" i="28"/>
  <c r="BX68" i="28"/>
  <c r="BY68" i="28"/>
  <c r="BZ68" i="28"/>
  <c r="CA68" i="28"/>
  <c r="CB68" i="28"/>
  <c r="CC68" i="28"/>
  <c r="CD68" i="28"/>
  <c r="CE68" i="28"/>
  <c r="CF68" i="28"/>
  <c r="CG68" i="28"/>
  <c r="CH68" i="28"/>
  <c r="CI68" i="28"/>
  <c r="CJ68" i="28"/>
  <c r="CK68" i="28"/>
  <c r="CL68" i="28"/>
  <c r="CM68" i="28"/>
  <c r="CN68" i="28"/>
  <c r="CO68" i="28"/>
  <c r="CP68" i="28"/>
  <c r="CQ68" i="28"/>
  <c r="CR68" i="28"/>
  <c r="CS68" i="28"/>
  <c r="CT68" i="28"/>
  <c r="CU68" i="28"/>
  <c r="CV68" i="28"/>
  <c r="CW68" i="28"/>
  <c r="CX68" i="28"/>
  <c r="CY68" i="28"/>
  <c r="CZ68" i="28"/>
  <c r="DA68" i="28"/>
  <c r="DB68" i="28"/>
  <c r="DC68" i="28"/>
  <c r="DD68" i="28"/>
  <c r="DE68" i="28"/>
  <c r="DF68" i="28"/>
  <c r="DG68" i="28"/>
  <c r="DH68" i="28"/>
  <c r="DI68" i="28"/>
  <c r="DJ68" i="28"/>
  <c r="DK68" i="28"/>
  <c r="DL68" i="28"/>
  <c r="DM68" i="28"/>
  <c r="DN68" i="28"/>
  <c r="DO68" i="28"/>
  <c r="DP68" i="28"/>
  <c r="DQ68" i="28"/>
  <c r="DR68" i="28"/>
  <c r="DS68" i="28"/>
  <c r="DT68" i="28"/>
  <c r="DU68" i="28"/>
  <c r="DV68" i="28"/>
  <c r="DW68" i="28"/>
  <c r="DX68" i="28"/>
  <c r="DY68" i="28"/>
  <c r="DZ68" i="28"/>
  <c r="EA68" i="28"/>
  <c r="EB68" i="28"/>
  <c r="EC68" i="28"/>
  <c r="ED68" i="28"/>
  <c r="EE68" i="28"/>
  <c r="EF68" i="28"/>
  <c r="EG68" i="28"/>
  <c r="EH68" i="28"/>
  <c r="EI68" i="28"/>
  <c r="EJ68" i="28"/>
  <c r="EK68" i="28"/>
  <c r="EL68" i="28"/>
  <c r="EM68" i="28"/>
  <c r="EN68" i="28"/>
  <c r="EO68" i="28"/>
  <c r="EP68" i="28"/>
  <c r="EQ68" i="28"/>
  <c r="ER68" i="28"/>
  <c r="ES68" i="28"/>
  <c r="ET68" i="28"/>
  <c r="EU68" i="28"/>
  <c r="EV68" i="28"/>
  <c r="EW68" i="28"/>
  <c r="EX68" i="28"/>
  <c r="EY68" i="28"/>
  <c r="EZ68" i="28"/>
  <c r="FA68" i="28"/>
  <c r="FB68" i="28"/>
  <c r="FC68" i="28"/>
  <c r="FD68" i="28"/>
  <c r="FE68" i="28"/>
  <c r="FF68" i="28"/>
  <c r="FG68" i="28"/>
  <c r="FH68" i="28"/>
  <c r="FI68" i="28"/>
  <c r="FJ68" i="28"/>
  <c r="FK68" i="28"/>
  <c r="FL68" i="28"/>
  <c r="FM68" i="28"/>
  <c r="FN68" i="28"/>
  <c r="FO68" i="28"/>
  <c r="FP68" i="28"/>
  <c r="FQ68" i="28"/>
  <c r="FR68" i="28"/>
  <c r="FS68" i="28"/>
  <c r="FT68" i="28"/>
  <c r="FU68" i="28"/>
  <c r="FV68" i="28"/>
  <c r="FW68" i="28"/>
  <c r="FX68" i="28"/>
  <c r="FY68" i="28"/>
  <c r="FZ68" i="28"/>
  <c r="GA68" i="28"/>
  <c r="GB68" i="28"/>
  <c r="GC68" i="28"/>
  <c r="GD68" i="28"/>
  <c r="GE68" i="28"/>
  <c r="GF68" i="28"/>
  <c r="GG68" i="28"/>
  <c r="GH68" i="28"/>
  <c r="GI68" i="28"/>
  <c r="GJ68" i="28"/>
  <c r="GK68" i="28"/>
  <c r="GL68" i="28"/>
  <c r="GM68" i="28"/>
  <c r="GN68" i="28"/>
  <c r="GO68" i="28"/>
  <c r="GP68" i="28"/>
  <c r="GQ68" i="28"/>
  <c r="GR68" i="28"/>
  <c r="GS68" i="28"/>
  <c r="GT68" i="28"/>
  <c r="GU68" i="28"/>
  <c r="GV68" i="28"/>
  <c r="GW68" i="28"/>
  <c r="GX68" i="28"/>
  <c r="GY68" i="28"/>
  <c r="GZ68" i="28"/>
  <c r="HA68" i="28"/>
  <c r="HB68" i="28"/>
  <c r="HC68" i="28"/>
  <c r="HD68" i="28"/>
  <c r="HE68" i="28"/>
  <c r="HF68" i="28"/>
  <c r="HG68" i="28"/>
  <c r="HH68" i="28"/>
  <c r="HI68" i="28"/>
  <c r="HJ68" i="28"/>
  <c r="HK68" i="28"/>
  <c r="HL68" i="28"/>
  <c r="HM68" i="28"/>
  <c r="HN68" i="28"/>
  <c r="HO68" i="28"/>
  <c r="HP68" i="28"/>
  <c r="HQ68" i="28"/>
  <c r="HR68" i="28"/>
  <c r="HS68" i="28"/>
  <c r="HT68" i="28"/>
  <c r="HU68" i="28"/>
  <c r="HV68" i="28"/>
  <c r="HW68" i="28"/>
  <c r="HX68" i="28"/>
  <c r="HY68" i="28"/>
  <c r="HZ68" i="28"/>
  <c r="IA68" i="28"/>
  <c r="IB68" i="28"/>
  <c r="IC68" i="28"/>
  <c r="ID68" i="28"/>
  <c r="IE68" i="28"/>
  <c r="IF68" i="28"/>
  <c r="IG68" i="28"/>
  <c r="IH68" i="28"/>
  <c r="II68" i="28"/>
  <c r="IJ68" i="28"/>
  <c r="IK68" i="28"/>
  <c r="IL68" i="28"/>
  <c r="IM68" i="28"/>
  <c r="IN68" i="28"/>
  <c r="IO68" i="28"/>
  <c r="IP68" i="28"/>
  <c r="IQ68" i="28"/>
  <c r="IR68" i="28"/>
  <c r="IS68" i="28"/>
  <c r="IT68" i="28"/>
  <c r="IU68" i="28"/>
  <c r="IV68" i="28"/>
  <c r="A67" i="28"/>
  <c r="B67" i="28"/>
  <c r="C67" i="28"/>
  <c r="D67" i="28"/>
  <c r="E67" i="28"/>
  <c r="F67" i="28"/>
  <c r="G67" i="28"/>
  <c r="H67" i="28"/>
  <c r="I67" i="28"/>
  <c r="J67" i="28"/>
  <c r="K67" i="28"/>
  <c r="L67" i="28"/>
  <c r="M67" i="28"/>
  <c r="N67" i="28"/>
  <c r="O67" i="28"/>
  <c r="P67" i="28"/>
  <c r="Q67" i="28"/>
  <c r="R67" i="28"/>
  <c r="S67" i="28"/>
  <c r="T67" i="28"/>
  <c r="U67" i="28"/>
  <c r="V67" i="28"/>
  <c r="W67" i="28"/>
  <c r="X67" i="28"/>
  <c r="Y67" i="28"/>
  <c r="Z67" i="28"/>
  <c r="AA67" i="28"/>
  <c r="AB67" i="28"/>
  <c r="AC67" i="28"/>
  <c r="AD67" i="28"/>
  <c r="AE67" i="28"/>
  <c r="AF67" i="28"/>
  <c r="AG67" i="28"/>
  <c r="AH67" i="28"/>
  <c r="AI67" i="28"/>
  <c r="AJ67" i="28"/>
  <c r="AK67" i="28"/>
  <c r="AL67" i="28"/>
  <c r="AM67" i="28"/>
  <c r="AN67" i="28"/>
  <c r="AO67" i="28"/>
  <c r="AP67" i="28"/>
  <c r="AQ67" i="28"/>
  <c r="AR67" i="28"/>
  <c r="AS67" i="28"/>
  <c r="AT67" i="28"/>
  <c r="AU67" i="28"/>
  <c r="AV67" i="28"/>
  <c r="AW67" i="28"/>
  <c r="AX67" i="28"/>
  <c r="AY67" i="28"/>
  <c r="AZ67" i="28"/>
  <c r="BA67" i="28"/>
  <c r="BB67" i="28"/>
  <c r="BC67" i="28"/>
  <c r="BD67" i="28"/>
  <c r="BE67" i="28"/>
  <c r="BF67" i="28"/>
  <c r="BG67" i="28"/>
  <c r="BH67" i="28"/>
  <c r="BI67" i="28"/>
  <c r="BJ67" i="28"/>
  <c r="BK67" i="28"/>
  <c r="BL67" i="28"/>
  <c r="BM67" i="28"/>
  <c r="BN67" i="28"/>
  <c r="BO67" i="28"/>
  <c r="BP67" i="28"/>
  <c r="BQ67" i="28"/>
  <c r="BR67" i="28"/>
  <c r="BS67" i="28"/>
  <c r="BT67" i="28"/>
  <c r="BU67" i="28"/>
  <c r="BV67" i="28"/>
  <c r="BW67" i="28"/>
  <c r="BX67" i="28"/>
  <c r="BY67" i="28"/>
  <c r="BZ67" i="28"/>
  <c r="CA67" i="28"/>
  <c r="CB67" i="28"/>
  <c r="CC67" i="28"/>
  <c r="CD67" i="28"/>
  <c r="CE67" i="28"/>
  <c r="CF67" i="28"/>
  <c r="CG67" i="28"/>
  <c r="CH67" i="28"/>
  <c r="CI67" i="28"/>
  <c r="CJ67" i="28"/>
  <c r="CK67" i="28"/>
  <c r="CL67" i="28"/>
  <c r="CM67" i="28"/>
  <c r="CN67" i="28"/>
  <c r="CO67" i="28"/>
  <c r="CP67" i="28"/>
  <c r="CQ67" i="28"/>
  <c r="CR67" i="28"/>
  <c r="CS67" i="28"/>
  <c r="CT67" i="28"/>
  <c r="CU67" i="28"/>
  <c r="CV67" i="28"/>
  <c r="CW67" i="28"/>
  <c r="CX67" i="28"/>
  <c r="CY67" i="28"/>
  <c r="CZ67" i="28"/>
  <c r="DA67" i="28"/>
  <c r="DB67" i="28"/>
  <c r="DC67" i="28"/>
  <c r="DD67" i="28"/>
  <c r="DE67" i="28"/>
  <c r="DF67" i="28"/>
  <c r="DG67" i="28"/>
  <c r="DH67" i="28"/>
  <c r="DI67" i="28"/>
  <c r="DJ67" i="28"/>
  <c r="DK67" i="28"/>
  <c r="DL67" i="28"/>
  <c r="DM67" i="28"/>
  <c r="DN67" i="28"/>
  <c r="DO67" i="28"/>
  <c r="DP67" i="28"/>
  <c r="DQ67" i="28"/>
  <c r="DR67" i="28"/>
  <c r="DS67" i="28"/>
  <c r="DT67" i="28"/>
  <c r="DU67" i="28"/>
  <c r="DV67" i="28"/>
  <c r="DW67" i="28"/>
  <c r="DX67" i="28"/>
  <c r="DY67" i="28"/>
  <c r="DZ67" i="28"/>
  <c r="EA67" i="28"/>
  <c r="EB67" i="28"/>
  <c r="EC67" i="28"/>
  <c r="ED67" i="28"/>
  <c r="EE67" i="28"/>
  <c r="EF67" i="28"/>
  <c r="EG67" i="28"/>
  <c r="EH67" i="28"/>
  <c r="EI67" i="28"/>
  <c r="EJ67" i="28"/>
  <c r="EK67" i="28"/>
  <c r="EL67" i="28"/>
  <c r="EM67" i="28"/>
  <c r="EN67" i="28"/>
  <c r="EO67" i="28"/>
  <c r="EP67" i="28"/>
  <c r="EQ67" i="28"/>
  <c r="ER67" i="28"/>
  <c r="ES67" i="28"/>
  <c r="ET67" i="28"/>
  <c r="EU67" i="28"/>
  <c r="EV67" i="28"/>
  <c r="EW67" i="28"/>
  <c r="EX67" i="28"/>
  <c r="EY67" i="28"/>
  <c r="EZ67" i="28"/>
  <c r="FA67" i="28"/>
  <c r="FB67" i="28"/>
  <c r="FC67" i="28"/>
  <c r="FD67" i="28"/>
  <c r="FE67" i="28"/>
  <c r="FF67" i="28"/>
  <c r="FG67" i="28"/>
  <c r="FH67" i="28"/>
  <c r="FI67" i="28"/>
  <c r="FJ67" i="28"/>
  <c r="FK67" i="28"/>
  <c r="FL67" i="28"/>
  <c r="FM67" i="28"/>
  <c r="FN67" i="28"/>
  <c r="FO67" i="28"/>
  <c r="FP67" i="28"/>
  <c r="FQ67" i="28"/>
  <c r="FR67" i="28"/>
  <c r="FS67" i="28"/>
  <c r="FT67" i="28"/>
  <c r="FU67" i="28"/>
  <c r="FV67" i="28"/>
  <c r="FW67" i="28"/>
  <c r="FX67" i="28"/>
  <c r="FY67" i="28"/>
  <c r="FZ67" i="28"/>
  <c r="GA67" i="28"/>
  <c r="GB67" i="28"/>
  <c r="GC67" i="28"/>
  <c r="GD67" i="28"/>
  <c r="GE67" i="28"/>
  <c r="GF67" i="28"/>
  <c r="GG67" i="28"/>
  <c r="GH67" i="28"/>
  <c r="GI67" i="28"/>
  <c r="GJ67" i="28"/>
  <c r="GK67" i="28"/>
  <c r="GL67" i="28"/>
  <c r="GM67" i="28"/>
  <c r="GN67" i="28"/>
  <c r="GO67" i="28"/>
  <c r="GP67" i="28"/>
  <c r="GQ67" i="28"/>
  <c r="GR67" i="28"/>
  <c r="GS67" i="28"/>
  <c r="GT67" i="28"/>
  <c r="GU67" i="28"/>
  <c r="GV67" i="28"/>
  <c r="GW67" i="28"/>
  <c r="GX67" i="28"/>
  <c r="GY67" i="28"/>
  <c r="GZ67" i="28"/>
  <c r="HA67" i="28"/>
  <c r="HB67" i="28"/>
  <c r="HC67" i="28"/>
  <c r="HD67" i="28"/>
  <c r="HE67" i="28"/>
  <c r="HF67" i="28"/>
  <c r="HG67" i="28"/>
  <c r="HH67" i="28"/>
  <c r="HI67" i="28"/>
  <c r="HJ67" i="28"/>
  <c r="HK67" i="28"/>
  <c r="HL67" i="28"/>
  <c r="HM67" i="28"/>
  <c r="HN67" i="28"/>
  <c r="HO67" i="28"/>
  <c r="HP67" i="28"/>
  <c r="HQ67" i="28"/>
  <c r="HR67" i="28"/>
  <c r="HS67" i="28"/>
  <c r="HT67" i="28"/>
  <c r="HU67" i="28"/>
  <c r="HV67" i="28"/>
  <c r="HW67" i="28"/>
  <c r="HX67" i="28"/>
  <c r="HY67" i="28"/>
  <c r="HZ67" i="28"/>
  <c r="IA67" i="28"/>
  <c r="IB67" i="28"/>
  <c r="IC67" i="28"/>
  <c r="ID67" i="28"/>
  <c r="IE67" i="28"/>
  <c r="IF67" i="28"/>
  <c r="IG67" i="28"/>
  <c r="IH67" i="28"/>
  <c r="II67" i="28"/>
  <c r="IJ67" i="28"/>
  <c r="IK67" i="28"/>
  <c r="IL67" i="28"/>
  <c r="IM67" i="28"/>
  <c r="IN67" i="28"/>
  <c r="IO67" i="28"/>
  <c r="IP67" i="28"/>
  <c r="IQ67" i="28"/>
  <c r="IR67" i="28"/>
  <c r="IS67" i="28"/>
  <c r="IT67" i="28"/>
  <c r="IU67" i="28"/>
  <c r="IV67" i="28"/>
  <c r="A66" i="28"/>
  <c r="B66" i="28"/>
  <c r="C66" i="28"/>
  <c r="D66" i="28"/>
  <c r="E66" i="28"/>
  <c r="F66" i="28"/>
  <c r="G66" i="28"/>
  <c r="H66" i="28"/>
  <c r="I66" i="28"/>
  <c r="J66" i="28"/>
  <c r="K66" i="28"/>
  <c r="L66" i="28"/>
  <c r="M66" i="28"/>
  <c r="N66" i="28"/>
  <c r="O66" i="28"/>
  <c r="P66" i="28"/>
  <c r="Q66" i="28"/>
  <c r="R66" i="28"/>
  <c r="S66" i="28"/>
  <c r="T66" i="28"/>
  <c r="U66" i="28"/>
  <c r="V66" i="28"/>
  <c r="W66" i="28"/>
  <c r="X66" i="28"/>
  <c r="Y66" i="28"/>
  <c r="Z66" i="28"/>
  <c r="AA66" i="28"/>
  <c r="AB66" i="28"/>
  <c r="AC66" i="28"/>
  <c r="AD66" i="28"/>
  <c r="AE66" i="28"/>
  <c r="AF66" i="28"/>
  <c r="AG66" i="28"/>
  <c r="AH66" i="28"/>
  <c r="AI66" i="28"/>
  <c r="AJ66" i="28"/>
  <c r="AK66" i="28"/>
  <c r="AL66" i="28"/>
  <c r="AM66" i="28"/>
  <c r="AN66" i="28"/>
  <c r="AO66" i="28"/>
  <c r="AP66" i="28"/>
  <c r="AQ66" i="28"/>
  <c r="AR66" i="28"/>
  <c r="AS66" i="28"/>
  <c r="AT66" i="28"/>
  <c r="AU66" i="28"/>
  <c r="AV66" i="28"/>
  <c r="AW66" i="28"/>
  <c r="AX66" i="28"/>
  <c r="AY66" i="28"/>
  <c r="AZ66" i="28"/>
  <c r="BA66" i="28"/>
  <c r="BB66" i="28"/>
  <c r="BC66" i="28"/>
  <c r="BD66" i="28"/>
  <c r="BE66" i="28"/>
  <c r="BF66" i="28"/>
  <c r="BG66" i="28"/>
  <c r="BH66" i="28"/>
  <c r="BI66" i="28"/>
  <c r="BJ66" i="28"/>
  <c r="BK66" i="28"/>
  <c r="BL66" i="28"/>
  <c r="BM66" i="28"/>
  <c r="BN66" i="28"/>
  <c r="BO66" i="28"/>
  <c r="BP66" i="28"/>
  <c r="BQ66" i="28"/>
  <c r="BR66" i="28"/>
  <c r="BS66" i="28"/>
  <c r="BT66" i="28"/>
  <c r="BU66" i="28"/>
  <c r="BV66" i="28"/>
  <c r="BW66" i="28"/>
  <c r="BX66" i="28"/>
  <c r="BY66" i="28"/>
  <c r="BZ66" i="28"/>
  <c r="CA66" i="28"/>
  <c r="CB66" i="28"/>
  <c r="CC66" i="28"/>
  <c r="CD66" i="28"/>
  <c r="CE66" i="28"/>
  <c r="CF66" i="28"/>
  <c r="CG66" i="28"/>
  <c r="CH66" i="28"/>
  <c r="CI66" i="28"/>
  <c r="CJ66" i="28"/>
  <c r="CK66" i="28"/>
  <c r="CL66" i="28"/>
  <c r="CM66" i="28"/>
  <c r="CN66" i="28"/>
  <c r="CO66" i="28"/>
  <c r="CP66" i="28"/>
  <c r="CQ66" i="28"/>
  <c r="CR66" i="28"/>
  <c r="CS66" i="28"/>
  <c r="CT66" i="28"/>
  <c r="CU66" i="28"/>
  <c r="CV66" i="28"/>
  <c r="CW66" i="28"/>
  <c r="CX66" i="28"/>
  <c r="CY66" i="28"/>
  <c r="CZ66" i="28"/>
  <c r="DA66" i="28"/>
  <c r="DB66" i="28"/>
  <c r="DC66" i="28"/>
  <c r="DD66" i="28"/>
  <c r="DE66" i="28"/>
  <c r="DF66" i="28"/>
  <c r="DG66" i="28"/>
  <c r="DH66" i="28"/>
  <c r="DI66" i="28"/>
  <c r="DJ66" i="28"/>
  <c r="DK66" i="28"/>
  <c r="DL66" i="28"/>
  <c r="DM66" i="28"/>
  <c r="DN66" i="28"/>
  <c r="DO66" i="28"/>
  <c r="DP66" i="28"/>
  <c r="DQ66" i="28"/>
  <c r="DR66" i="28"/>
  <c r="DS66" i="28"/>
  <c r="DT66" i="28"/>
  <c r="DU66" i="28"/>
  <c r="DV66" i="28"/>
  <c r="DW66" i="28"/>
  <c r="DX66" i="28"/>
  <c r="DY66" i="28"/>
  <c r="DZ66" i="28"/>
  <c r="EA66" i="28"/>
  <c r="EB66" i="28"/>
  <c r="EC66" i="28"/>
  <c r="ED66" i="28"/>
  <c r="EE66" i="28"/>
  <c r="EF66" i="28"/>
  <c r="EG66" i="28"/>
  <c r="EH66" i="28"/>
  <c r="EI66" i="28"/>
  <c r="EJ66" i="28"/>
  <c r="EK66" i="28"/>
  <c r="EL66" i="28"/>
  <c r="EM66" i="28"/>
  <c r="EN66" i="28"/>
  <c r="EO66" i="28"/>
  <c r="EP66" i="28"/>
  <c r="EQ66" i="28"/>
  <c r="ER66" i="28"/>
  <c r="ES66" i="28"/>
  <c r="ET66" i="28"/>
  <c r="EU66" i="28"/>
  <c r="EV66" i="28"/>
  <c r="EW66" i="28"/>
  <c r="EX66" i="28"/>
  <c r="EY66" i="28"/>
  <c r="EZ66" i="28"/>
  <c r="FA66" i="28"/>
  <c r="FB66" i="28"/>
  <c r="FC66" i="28"/>
  <c r="FD66" i="28"/>
  <c r="FE66" i="28"/>
  <c r="FF66" i="28"/>
  <c r="FG66" i="28"/>
  <c r="FH66" i="28"/>
  <c r="FI66" i="28"/>
  <c r="FJ66" i="28"/>
  <c r="FK66" i="28"/>
  <c r="FL66" i="28"/>
  <c r="FM66" i="28"/>
  <c r="FN66" i="28"/>
  <c r="FO66" i="28"/>
  <c r="FP66" i="28"/>
  <c r="FQ66" i="28"/>
  <c r="FR66" i="28"/>
  <c r="FS66" i="28"/>
  <c r="FT66" i="28"/>
  <c r="FU66" i="28"/>
  <c r="FV66" i="28"/>
  <c r="FW66" i="28"/>
  <c r="FX66" i="28"/>
  <c r="FY66" i="28"/>
  <c r="FZ66" i="28"/>
  <c r="GA66" i="28"/>
  <c r="GB66" i="28"/>
  <c r="GC66" i="28"/>
  <c r="GD66" i="28"/>
  <c r="GE66" i="28"/>
  <c r="GF66" i="28"/>
  <c r="GG66" i="28"/>
  <c r="GH66" i="28"/>
  <c r="GI66" i="28"/>
  <c r="GJ66" i="28"/>
  <c r="GK66" i="28"/>
  <c r="GL66" i="28"/>
  <c r="GM66" i="28"/>
  <c r="GN66" i="28"/>
  <c r="GO66" i="28"/>
  <c r="GP66" i="28"/>
  <c r="GQ66" i="28"/>
  <c r="GR66" i="28"/>
  <c r="GS66" i="28"/>
  <c r="GT66" i="28"/>
  <c r="GU66" i="28"/>
  <c r="GV66" i="28"/>
  <c r="GW66" i="28"/>
  <c r="GX66" i="28"/>
  <c r="GY66" i="28"/>
  <c r="GZ66" i="28"/>
  <c r="HA66" i="28"/>
  <c r="HB66" i="28"/>
  <c r="HC66" i="28"/>
  <c r="HD66" i="28"/>
  <c r="HE66" i="28"/>
  <c r="HF66" i="28"/>
  <c r="HG66" i="28"/>
  <c r="HH66" i="28"/>
  <c r="HI66" i="28"/>
  <c r="HJ66" i="28"/>
  <c r="HK66" i="28"/>
  <c r="HL66" i="28"/>
  <c r="HM66" i="28"/>
  <c r="HN66" i="28"/>
  <c r="HO66" i="28"/>
  <c r="HP66" i="28"/>
  <c r="HQ66" i="28"/>
  <c r="HR66" i="28"/>
  <c r="HS66" i="28"/>
  <c r="HT66" i="28"/>
  <c r="HU66" i="28"/>
  <c r="HV66" i="28"/>
  <c r="HW66" i="28"/>
  <c r="HX66" i="28"/>
  <c r="HY66" i="28"/>
  <c r="HZ66" i="28"/>
  <c r="IA66" i="28"/>
  <c r="IB66" i="28"/>
  <c r="IC66" i="28"/>
  <c r="ID66" i="28"/>
  <c r="IE66" i="28"/>
  <c r="IF66" i="28"/>
  <c r="IG66" i="28"/>
  <c r="IH66" i="28"/>
  <c r="II66" i="28"/>
  <c r="IJ66" i="28"/>
  <c r="IK66" i="28"/>
  <c r="IL66" i="28"/>
  <c r="IM66" i="28"/>
  <c r="IN66" i="28"/>
  <c r="IO66" i="28"/>
  <c r="IP66" i="28"/>
  <c r="IQ66" i="28"/>
  <c r="IR66" i="28"/>
  <c r="IS66" i="28"/>
  <c r="IT66" i="28"/>
  <c r="IU66" i="28"/>
  <c r="IV66" i="28"/>
  <c r="A65" i="28"/>
  <c r="B65" i="28"/>
  <c r="C65" i="28"/>
  <c r="D65" i="28"/>
  <c r="E65" i="28"/>
  <c r="F65" i="28"/>
  <c r="G65" i="28"/>
  <c r="H65" i="28"/>
  <c r="I65" i="28"/>
  <c r="J65" i="28"/>
  <c r="K65" i="28"/>
  <c r="L65" i="28"/>
  <c r="M65" i="28"/>
  <c r="N65" i="28"/>
  <c r="O65" i="28"/>
  <c r="P65" i="28"/>
  <c r="Q65" i="28"/>
  <c r="R65" i="28"/>
  <c r="S65" i="28"/>
  <c r="T65" i="28"/>
  <c r="U65" i="28"/>
  <c r="V65" i="28"/>
  <c r="W65" i="28"/>
  <c r="X65" i="28"/>
  <c r="Y65" i="28"/>
  <c r="Z65" i="28"/>
  <c r="AA65" i="28"/>
  <c r="AB65" i="28"/>
  <c r="AC65" i="28"/>
  <c r="AD65" i="28"/>
  <c r="AE65" i="28"/>
  <c r="AF65" i="28"/>
  <c r="AG65" i="28"/>
  <c r="AH65" i="28"/>
  <c r="AI65" i="28"/>
  <c r="AJ65" i="28"/>
  <c r="AK65" i="28"/>
  <c r="AL65" i="28"/>
  <c r="AM65" i="28"/>
  <c r="AN65" i="28"/>
  <c r="AO65" i="28"/>
  <c r="AP65" i="28"/>
  <c r="AQ65" i="28"/>
  <c r="AR65" i="28"/>
  <c r="AS65" i="28"/>
  <c r="AT65" i="28"/>
  <c r="AU65" i="28"/>
  <c r="AV65" i="28"/>
  <c r="AW65" i="28"/>
  <c r="AX65" i="28"/>
  <c r="AY65" i="28"/>
  <c r="AZ65" i="28"/>
  <c r="BA65" i="28"/>
  <c r="BB65" i="28"/>
  <c r="BC65" i="28"/>
  <c r="BD65" i="28"/>
  <c r="BE65" i="28"/>
  <c r="BF65" i="28"/>
  <c r="BG65" i="28"/>
  <c r="BH65" i="28"/>
  <c r="BI65" i="28"/>
  <c r="BJ65" i="28"/>
  <c r="BK65" i="28"/>
  <c r="BL65" i="28"/>
  <c r="BM65" i="28"/>
  <c r="BN65" i="28"/>
  <c r="BO65" i="28"/>
  <c r="BP65" i="28"/>
  <c r="BQ65" i="28"/>
  <c r="BR65" i="28"/>
  <c r="BS65" i="28"/>
  <c r="BT65" i="28"/>
  <c r="BU65" i="28"/>
  <c r="BV65" i="28"/>
  <c r="BW65" i="28"/>
  <c r="BX65" i="28"/>
  <c r="BY65" i="28"/>
  <c r="BZ65" i="28"/>
  <c r="CA65" i="28"/>
  <c r="CB65" i="28"/>
  <c r="CC65" i="28"/>
  <c r="CD65" i="28"/>
  <c r="CE65" i="28"/>
  <c r="CF65" i="28"/>
  <c r="CG65" i="28"/>
  <c r="CH65" i="28"/>
  <c r="CI65" i="28"/>
  <c r="CJ65" i="28"/>
  <c r="CK65" i="28"/>
  <c r="CL65" i="28"/>
  <c r="CM65" i="28"/>
  <c r="CN65" i="28"/>
  <c r="CO65" i="28"/>
  <c r="CP65" i="28"/>
  <c r="CQ65" i="28"/>
  <c r="CR65" i="28"/>
  <c r="CS65" i="28"/>
  <c r="CT65" i="28"/>
  <c r="CU65" i="28"/>
  <c r="CV65" i="28"/>
  <c r="CW65" i="28"/>
  <c r="CX65" i="28"/>
  <c r="CY65" i="28"/>
  <c r="CZ65" i="28"/>
  <c r="DA65" i="28"/>
  <c r="DB65" i="28"/>
  <c r="DC65" i="28"/>
  <c r="DD65" i="28"/>
  <c r="DE65" i="28"/>
  <c r="DF65" i="28"/>
  <c r="DG65" i="28"/>
  <c r="DH65" i="28"/>
  <c r="DI65" i="28"/>
  <c r="DJ65" i="28"/>
  <c r="DK65" i="28"/>
  <c r="DL65" i="28"/>
  <c r="DM65" i="28"/>
  <c r="DN65" i="28"/>
  <c r="DO65" i="28"/>
  <c r="DP65" i="28"/>
  <c r="DQ65" i="28"/>
  <c r="DR65" i="28"/>
  <c r="DS65" i="28"/>
  <c r="DT65" i="28"/>
  <c r="DU65" i="28"/>
  <c r="DV65" i="28"/>
  <c r="DW65" i="28"/>
  <c r="DX65" i="28"/>
  <c r="DY65" i="28"/>
  <c r="DZ65" i="28"/>
  <c r="EA65" i="28"/>
  <c r="EB65" i="28"/>
  <c r="EC65" i="28"/>
  <c r="ED65" i="28"/>
  <c r="EE65" i="28"/>
  <c r="EF65" i="28"/>
  <c r="EG65" i="28"/>
  <c r="EH65" i="28"/>
  <c r="EI65" i="28"/>
  <c r="EJ65" i="28"/>
  <c r="EK65" i="28"/>
  <c r="EL65" i="28"/>
  <c r="EM65" i="28"/>
  <c r="EN65" i="28"/>
  <c r="EO65" i="28"/>
  <c r="EP65" i="28"/>
  <c r="EQ65" i="28"/>
  <c r="ER65" i="28"/>
  <c r="ES65" i="28"/>
  <c r="ET65" i="28"/>
  <c r="EU65" i="28"/>
  <c r="EV65" i="28"/>
  <c r="EW65" i="28"/>
  <c r="EX65" i="28"/>
  <c r="EY65" i="28"/>
  <c r="EZ65" i="28"/>
  <c r="FA65" i="28"/>
  <c r="FB65" i="28"/>
  <c r="FC65" i="28"/>
  <c r="FD65" i="28"/>
  <c r="FE65" i="28"/>
  <c r="FF65" i="28"/>
  <c r="FG65" i="28"/>
  <c r="FH65" i="28"/>
  <c r="FI65" i="28"/>
  <c r="FJ65" i="28"/>
  <c r="FK65" i="28"/>
  <c r="FL65" i="28"/>
  <c r="FM65" i="28"/>
  <c r="FN65" i="28"/>
  <c r="FO65" i="28"/>
  <c r="FP65" i="28"/>
  <c r="FQ65" i="28"/>
  <c r="FR65" i="28"/>
  <c r="FS65" i="28"/>
  <c r="FT65" i="28"/>
  <c r="FU65" i="28"/>
  <c r="FV65" i="28"/>
  <c r="FW65" i="28"/>
  <c r="FX65" i="28"/>
  <c r="FY65" i="28"/>
  <c r="FZ65" i="28"/>
  <c r="GA65" i="28"/>
  <c r="GB65" i="28"/>
  <c r="GC65" i="28"/>
  <c r="GD65" i="28"/>
  <c r="GE65" i="28"/>
  <c r="GF65" i="28"/>
  <c r="GG65" i="28"/>
  <c r="GH65" i="28"/>
  <c r="GI65" i="28"/>
  <c r="GJ65" i="28"/>
  <c r="GK65" i="28"/>
  <c r="GL65" i="28"/>
  <c r="GM65" i="28"/>
  <c r="GN65" i="28"/>
  <c r="GO65" i="28"/>
  <c r="GP65" i="28"/>
  <c r="GQ65" i="28"/>
  <c r="GR65" i="28"/>
  <c r="GS65" i="28"/>
  <c r="GT65" i="28"/>
  <c r="GU65" i="28"/>
  <c r="GV65" i="28"/>
  <c r="GW65" i="28"/>
  <c r="GX65" i="28"/>
  <c r="GY65" i="28"/>
  <c r="GZ65" i="28"/>
  <c r="HA65" i="28"/>
  <c r="HB65" i="28"/>
  <c r="HC65" i="28"/>
  <c r="HD65" i="28"/>
  <c r="HE65" i="28"/>
  <c r="HF65" i="28"/>
  <c r="HG65" i="28"/>
  <c r="HH65" i="28"/>
  <c r="HI65" i="28"/>
  <c r="HJ65" i="28"/>
  <c r="HK65" i="28"/>
  <c r="HL65" i="28"/>
  <c r="HM65" i="28"/>
  <c r="HN65" i="28"/>
  <c r="HO65" i="28"/>
  <c r="HP65" i="28"/>
  <c r="HQ65" i="28"/>
  <c r="HR65" i="28"/>
  <c r="HS65" i="28"/>
  <c r="HT65" i="28"/>
  <c r="HU65" i="28"/>
  <c r="HV65" i="28"/>
  <c r="HW65" i="28"/>
  <c r="HX65" i="28"/>
  <c r="HY65" i="28"/>
  <c r="HZ65" i="28"/>
  <c r="IA65" i="28"/>
  <c r="IB65" i="28"/>
  <c r="IC65" i="28"/>
  <c r="ID65" i="28"/>
  <c r="IE65" i="28"/>
  <c r="IF65" i="28"/>
  <c r="IG65" i="28"/>
  <c r="IH65" i="28"/>
  <c r="II65" i="28"/>
  <c r="IJ65" i="28"/>
  <c r="IK65" i="28"/>
  <c r="IL65" i="28"/>
  <c r="IM65" i="28"/>
  <c r="IN65" i="28"/>
  <c r="IO65" i="28"/>
  <c r="IP65" i="28"/>
  <c r="IQ65" i="28"/>
  <c r="IR65" i="28"/>
  <c r="IS65" i="28"/>
  <c r="IT65" i="28"/>
  <c r="IU65" i="28"/>
  <c r="IV65" i="28"/>
  <c r="A64" i="28"/>
  <c r="B64" i="28"/>
  <c r="C64" i="28"/>
  <c r="D64" i="28"/>
  <c r="E64" i="28"/>
  <c r="F64" i="28"/>
  <c r="G64" i="28"/>
  <c r="H64" i="28"/>
  <c r="I64" i="28"/>
  <c r="J64" i="28"/>
  <c r="K64" i="28"/>
  <c r="L64" i="28"/>
  <c r="M64" i="28"/>
  <c r="N64" i="28"/>
  <c r="O64" i="28"/>
  <c r="P64" i="28"/>
  <c r="Q64" i="28"/>
  <c r="R64" i="28"/>
  <c r="S64" i="28"/>
  <c r="T64" i="28"/>
  <c r="U64" i="28"/>
  <c r="V64" i="28"/>
  <c r="W64" i="28"/>
  <c r="X64" i="28"/>
  <c r="Y64" i="28"/>
  <c r="Z64" i="28"/>
  <c r="AA64" i="28"/>
  <c r="AB64" i="28"/>
  <c r="AC64" i="28"/>
  <c r="AD64" i="28"/>
  <c r="AE64" i="28"/>
  <c r="AF64" i="28"/>
  <c r="AG64" i="28"/>
  <c r="AH64" i="28"/>
  <c r="AI64" i="28"/>
  <c r="AJ64" i="28"/>
  <c r="AK64" i="28"/>
  <c r="AL64" i="28"/>
  <c r="AM64" i="28"/>
  <c r="AN64" i="28"/>
  <c r="AO64" i="28"/>
  <c r="AP64" i="28"/>
  <c r="AQ64" i="28"/>
  <c r="AR64" i="28"/>
  <c r="AS64" i="28"/>
  <c r="AT64" i="28"/>
  <c r="AU64" i="28"/>
  <c r="AV64" i="28"/>
  <c r="AW64" i="28"/>
  <c r="AX64" i="28"/>
  <c r="AY64" i="28"/>
  <c r="AZ64" i="28"/>
  <c r="BA64" i="28"/>
  <c r="BB64" i="28"/>
  <c r="BC64" i="28"/>
  <c r="BD64" i="28"/>
  <c r="BE64" i="28"/>
  <c r="BF64" i="28"/>
  <c r="BG64" i="28"/>
  <c r="BH64" i="28"/>
  <c r="BI64" i="28"/>
  <c r="BJ64" i="28"/>
  <c r="BK64" i="28"/>
  <c r="BL64" i="28"/>
  <c r="BM64" i="28"/>
  <c r="BN64" i="28"/>
  <c r="BO64" i="28"/>
  <c r="BP64" i="28"/>
  <c r="BQ64" i="28"/>
  <c r="BR64" i="28"/>
  <c r="BS64" i="28"/>
  <c r="BT64" i="28"/>
  <c r="BU64" i="28"/>
  <c r="BV64" i="28"/>
  <c r="BW64" i="28"/>
  <c r="BX64" i="28"/>
  <c r="BY64" i="28"/>
  <c r="BZ64" i="28"/>
  <c r="CA64" i="28"/>
  <c r="CB64" i="28"/>
  <c r="CC64" i="28"/>
  <c r="CD64" i="28"/>
  <c r="CE64" i="28"/>
  <c r="CF64" i="28"/>
  <c r="CG64" i="28"/>
  <c r="CH64" i="28"/>
  <c r="CI64" i="28"/>
  <c r="CJ64" i="28"/>
  <c r="CK64" i="28"/>
  <c r="CL64" i="28"/>
  <c r="CM64" i="28"/>
  <c r="CN64" i="28"/>
  <c r="CO64" i="28"/>
  <c r="CP64" i="28"/>
  <c r="CQ64" i="28"/>
  <c r="CR64" i="28"/>
  <c r="CS64" i="28"/>
  <c r="CT64" i="28"/>
  <c r="CU64" i="28"/>
  <c r="CV64" i="28"/>
  <c r="CW64" i="28"/>
  <c r="CX64" i="28"/>
  <c r="CY64" i="28"/>
  <c r="CZ64" i="28"/>
  <c r="DA64" i="28"/>
  <c r="DB64" i="28"/>
  <c r="DC64" i="28"/>
  <c r="DD64" i="28"/>
  <c r="DE64" i="28"/>
  <c r="DF64" i="28"/>
  <c r="DG64" i="28"/>
  <c r="DH64" i="28"/>
  <c r="DI64" i="28"/>
  <c r="DJ64" i="28"/>
  <c r="DK64" i="28"/>
  <c r="DL64" i="28"/>
  <c r="DM64" i="28"/>
  <c r="DN64" i="28"/>
  <c r="DO64" i="28"/>
  <c r="DP64" i="28"/>
  <c r="DQ64" i="28"/>
  <c r="DR64" i="28"/>
  <c r="DS64" i="28"/>
  <c r="DT64" i="28"/>
  <c r="DU64" i="28"/>
  <c r="DV64" i="28"/>
  <c r="DW64" i="28"/>
  <c r="DX64" i="28"/>
  <c r="DY64" i="28"/>
  <c r="DZ64" i="28"/>
  <c r="EA64" i="28"/>
  <c r="EB64" i="28"/>
  <c r="EC64" i="28"/>
  <c r="ED64" i="28"/>
  <c r="EE64" i="28"/>
  <c r="EF64" i="28"/>
  <c r="EG64" i="28"/>
  <c r="EH64" i="28"/>
  <c r="EI64" i="28"/>
  <c r="EJ64" i="28"/>
  <c r="EK64" i="28"/>
  <c r="EL64" i="28"/>
  <c r="EM64" i="28"/>
  <c r="EN64" i="28"/>
  <c r="EO64" i="28"/>
  <c r="EP64" i="28"/>
  <c r="EQ64" i="28"/>
  <c r="ER64" i="28"/>
  <c r="ES64" i="28"/>
  <c r="ET64" i="28"/>
  <c r="EU64" i="28"/>
  <c r="EV64" i="28"/>
  <c r="EW64" i="28"/>
  <c r="EX64" i="28"/>
  <c r="EY64" i="28"/>
  <c r="EZ64" i="28"/>
  <c r="FA64" i="28"/>
  <c r="FB64" i="28"/>
  <c r="FC64" i="28"/>
  <c r="FD64" i="28"/>
  <c r="FE64" i="28"/>
  <c r="FF64" i="28"/>
  <c r="FG64" i="28"/>
  <c r="FH64" i="28"/>
  <c r="FI64" i="28"/>
  <c r="FJ64" i="28"/>
  <c r="FK64" i="28"/>
  <c r="FL64" i="28"/>
  <c r="FM64" i="28"/>
  <c r="FN64" i="28"/>
  <c r="FO64" i="28"/>
  <c r="FP64" i="28"/>
  <c r="FQ64" i="28"/>
  <c r="FR64" i="28"/>
  <c r="FS64" i="28"/>
  <c r="FT64" i="28"/>
  <c r="FU64" i="28"/>
  <c r="FV64" i="28"/>
  <c r="FW64" i="28"/>
  <c r="FX64" i="28"/>
  <c r="FY64" i="28"/>
  <c r="FZ64" i="28"/>
  <c r="GA64" i="28"/>
  <c r="GB64" i="28"/>
  <c r="GC64" i="28"/>
  <c r="GD64" i="28"/>
  <c r="GE64" i="28"/>
  <c r="GF64" i="28"/>
  <c r="GG64" i="28"/>
  <c r="GH64" i="28"/>
  <c r="GI64" i="28"/>
  <c r="GJ64" i="28"/>
  <c r="GK64" i="28"/>
  <c r="GL64" i="28"/>
  <c r="GM64" i="28"/>
  <c r="GN64" i="28"/>
  <c r="GO64" i="28"/>
  <c r="GP64" i="28"/>
  <c r="GQ64" i="28"/>
  <c r="GR64" i="28"/>
  <c r="GS64" i="28"/>
  <c r="GT64" i="28"/>
  <c r="GU64" i="28"/>
  <c r="GV64" i="28"/>
  <c r="GW64" i="28"/>
  <c r="GX64" i="28"/>
  <c r="GY64" i="28"/>
  <c r="GZ64" i="28"/>
  <c r="HA64" i="28"/>
  <c r="HB64" i="28"/>
  <c r="HC64" i="28"/>
  <c r="HD64" i="28"/>
  <c r="HE64" i="28"/>
  <c r="HF64" i="28"/>
  <c r="HG64" i="28"/>
  <c r="HH64" i="28"/>
  <c r="HI64" i="28"/>
  <c r="HJ64" i="28"/>
  <c r="HK64" i="28"/>
  <c r="HL64" i="28"/>
  <c r="HM64" i="28"/>
  <c r="HN64" i="28"/>
  <c r="HO64" i="28"/>
  <c r="HP64" i="28"/>
  <c r="HQ64" i="28"/>
  <c r="HR64" i="28"/>
  <c r="HS64" i="28"/>
  <c r="HT64" i="28"/>
  <c r="HU64" i="28"/>
  <c r="HV64" i="28"/>
  <c r="HW64" i="28"/>
  <c r="HX64" i="28"/>
  <c r="HY64" i="28"/>
  <c r="HZ64" i="28"/>
  <c r="IA64" i="28"/>
  <c r="IB64" i="28"/>
  <c r="IC64" i="28"/>
  <c r="ID64" i="28"/>
  <c r="IE64" i="28"/>
  <c r="IF64" i="28"/>
  <c r="IG64" i="28"/>
  <c r="IH64" i="28"/>
  <c r="II64" i="28"/>
  <c r="IJ64" i="28"/>
  <c r="IK64" i="28"/>
  <c r="IL64" i="28"/>
  <c r="IM64" i="28"/>
  <c r="IN64" i="28"/>
  <c r="IO64" i="28"/>
  <c r="IP64" i="28"/>
  <c r="IQ64" i="28"/>
  <c r="IR64" i="28"/>
  <c r="IS64" i="28"/>
  <c r="IT64" i="28"/>
  <c r="IU64" i="28"/>
  <c r="IV64" i="28"/>
  <c r="A63" i="28"/>
  <c r="B63" i="28"/>
  <c r="C63" i="28"/>
  <c r="D63" i="28"/>
  <c r="E63" i="28"/>
  <c r="F63" i="28"/>
  <c r="G63" i="28"/>
  <c r="H63" i="28"/>
  <c r="I63" i="28"/>
  <c r="J63" i="28"/>
  <c r="K63" i="28"/>
  <c r="L63" i="28"/>
  <c r="M63" i="28"/>
  <c r="N63" i="28"/>
  <c r="O63" i="28"/>
  <c r="P63" i="28"/>
  <c r="Q63" i="28"/>
  <c r="R63" i="28"/>
  <c r="S63" i="28"/>
  <c r="T63" i="28"/>
  <c r="U63" i="28"/>
  <c r="V63" i="28"/>
  <c r="W63" i="28"/>
  <c r="X63" i="28"/>
  <c r="Y63" i="28"/>
  <c r="Z63" i="28"/>
  <c r="AA63" i="28"/>
  <c r="AB63" i="28"/>
  <c r="AC63" i="28"/>
  <c r="AD63" i="28"/>
  <c r="AE63" i="28"/>
  <c r="AF63" i="28"/>
  <c r="AG63" i="28"/>
  <c r="AH63" i="28"/>
  <c r="AI63" i="28"/>
  <c r="AJ63" i="28"/>
  <c r="AK63" i="28"/>
  <c r="AL63" i="28"/>
  <c r="AM63" i="28"/>
  <c r="AN63" i="28"/>
  <c r="AO63" i="28"/>
  <c r="AP63" i="28"/>
  <c r="AQ63" i="28"/>
  <c r="AR63" i="28"/>
  <c r="AS63" i="28"/>
  <c r="AT63" i="28"/>
  <c r="AU63" i="28"/>
  <c r="AV63" i="28"/>
  <c r="AW63" i="28"/>
  <c r="AX63" i="28"/>
  <c r="AY63" i="28"/>
  <c r="AZ63" i="28"/>
  <c r="BA63" i="28"/>
  <c r="BB63" i="28"/>
  <c r="BC63" i="28"/>
  <c r="BD63" i="28"/>
  <c r="BE63" i="28"/>
  <c r="BF63" i="28"/>
  <c r="BG63" i="28"/>
  <c r="BH63" i="28"/>
  <c r="BI63" i="28"/>
  <c r="BJ63" i="28"/>
  <c r="BK63" i="28"/>
  <c r="BL63" i="28"/>
  <c r="BM63" i="28"/>
  <c r="BN63" i="28"/>
  <c r="BO63" i="28"/>
  <c r="BP63" i="28"/>
  <c r="BQ63" i="28"/>
  <c r="BR63" i="28"/>
  <c r="BS63" i="28"/>
  <c r="BT63" i="28"/>
  <c r="BU63" i="28"/>
  <c r="BV63" i="28"/>
  <c r="BW63" i="28"/>
  <c r="BX63" i="28"/>
  <c r="BY63" i="28"/>
  <c r="BZ63" i="28"/>
  <c r="CA63" i="28"/>
  <c r="CB63" i="28"/>
  <c r="CC63" i="28"/>
  <c r="CD63" i="28"/>
  <c r="CE63" i="28"/>
  <c r="CF63" i="28"/>
  <c r="CG63" i="28"/>
  <c r="CH63" i="28"/>
  <c r="CI63" i="28"/>
  <c r="CJ63" i="28"/>
  <c r="CK63" i="28"/>
  <c r="CL63" i="28"/>
  <c r="CM63" i="28"/>
  <c r="CN63" i="28"/>
  <c r="CO63" i="28"/>
  <c r="CP63" i="28"/>
  <c r="CQ63" i="28"/>
  <c r="CR63" i="28"/>
  <c r="CS63" i="28"/>
  <c r="CT63" i="28"/>
  <c r="CU63" i="28"/>
  <c r="CV63" i="28"/>
  <c r="CW63" i="28"/>
  <c r="CX63" i="28"/>
  <c r="CY63" i="28"/>
  <c r="CZ63" i="28"/>
  <c r="DA63" i="28"/>
  <c r="DB63" i="28"/>
  <c r="DC63" i="28"/>
  <c r="DD63" i="28"/>
  <c r="DE63" i="28"/>
  <c r="DF63" i="28"/>
  <c r="DG63" i="28"/>
  <c r="DH63" i="28"/>
  <c r="DI63" i="28"/>
  <c r="DJ63" i="28"/>
  <c r="DK63" i="28"/>
  <c r="DL63" i="28"/>
  <c r="DM63" i="28"/>
  <c r="DN63" i="28"/>
  <c r="DO63" i="28"/>
  <c r="DP63" i="28"/>
  <c r="DQ63" i="28"/>
  <c r="DR63" i="28"/>
  <c r="DS63" i="28"/>
  <c r="DT63" i="28"/>
  <c r="DU63" i="28"/>
  <c r="DV63" i="28"/>
  <c r="DW63" i="28"/>
  <c r="DX63" i="28"/>
  <c r="DY63" i="28"/>
  <c r="DZ63" i="28"/>
  <c r="EA63" i="28"/>
  <c r="EB63" i="28"/>
  <c r="EC63" i="28"/>
  <c r="ED63" i="28"/>
  <c r="EE63" i="28"/>
  <c r="EF63" i="28"/>
  <c r="EG63" i="28"/>
  <c r="EH63" i="28"/>
  <c r="EI63" i="28"/>
  <c r="EJ63" i="28"/>
  <c r="EK63" i="28"/>
  <c r="EL63" i="28"/>
  <c r="EM63" i="28"/>
  <c r="EN63" i="28"/>
  <c r="EO63" i="28"/>
  <c r="EP63" i="28"/>
  <c r="EQ63" i="28"/>
  <c r="ER63" i="28"/>
  <c r="ES63" i="28"/>
  <c r="ET63" i="28"/>
  <c r="EU63" i="28"/>
  <c r="EV63" i="28"/>
  <c r="EW63" i="28"/>
  <c r="EX63" i="28"/>
  <c r="EY63" i="28"/>
  <c r="EZ63" i="28"/>
  <c r="FA63" i="28"/>
  <c r="FB63" i="28"/>
  <c r="FC63" i="28"/>
  <c r="FD63" i="28"/>
  <c r="FE63" i="28"/>
  <c r="FF63" i="28"/>
  <c r="FG63" i="28"/>
  <c r="FH63" i="28"/>
  <c r="FI63" i="28"/>
  <c r="FJ63" i="28"/>
  <c r="FK63" i="28"/>
  <c r="FL63" i="28"/>
  <c r="FM63" i="28"/>
  <c r="FN63" i="28"/>
  <c r="FO63" i="28"/>
  <c r="FP63" i="28"/>
  <c r="FQ63" i="28"/>
  <c r="FR63" i="28"/>
  <c r="FS63" i="28"/>
  <c r="FT63" i="28"/>
  <c r="FU63" i="28"/>
  <c r="FV63" i="28"/>
  <c r="FW63" i="28"/>
  <c r="FX63" i="28"/>
  <c r="FY63" i="28"/>
  <c r="FZ63" i="28"/>
  <c r="GA63" i="28"/>
  <c r="GB63" i="28"/>
  <c r="GC63" i="28"/>
  <c r="GD63" i="28"/>
  <c r="GE63" i="28"/>
  <c r="GF63" i="28"/>
  <c r="GG63" i="28"/>
  <c r="GH63" i="28"/>
  <c r="GI63" i="28"/>
  <c r="GJ63" i="28"/>
  <c r="GK63" i="28"/>
  <c r="GL63" i="28"/>
  <c r="GM63" i="28"/>
  <c r="GN63" i="28"/>
  <c r="GO63" i="28"/>
  <c r="GP63" i="28"/>
  <c r="GQ63" i="28"/>
  <c r="GR63" i="28"/>
  <c r="GS63" i="28"/>
  <c r="GT63" i="28"/>
  <c r="GU63" i="28"/>
  <c r="GV63" i="28"/>
  <c r="GW63" i="28"/>
  <c r="GX63" i="28"/>
  <c r="GY63" i="28"/>
  <c r="GZ63" i="28"/>
  <c r="HA63" i="28"/>
  <c r="HB63" i="28"/>
  <c r="HC63" i="28"/>
  <c r="HD63" i="28"/>
  <c r="HE63" i="28"/>
  <c r="HF63" i="28"/>
  <c r="HG63" i="28"/>
  <c r="HH63" i="28"/>
  <c r="HI63" i="28"/>
  <c r="HJ63" i="28"/>
  <c r="HK63" i="28"/>
  <c r="HL63" i="28"/>
  <c r="HM63" i="28"/>
  <c r="HN63" i="28"/>
  <c r="HO63" i="28"/>
  <c r="HP63" i="28"/>
  <c r="HQ63" i="28"/>
  <c r="HR63" i="28"/>
  <c r="HS63" i="28"/>
  <c r="HT63" i="28"/>
  <c r="HU63" i="28"/>
  <c r="HV63" i="28"/>
  <c r="HW63" i="28"/>
  <c r="HX63" i="28"/>
  <c r="HY63" i="28"/>
  <c r="HZ63" i="28"/>
  <c r="IA63" i="28"/>
  <c r="IB63" i="28"/>
  <c r="IC63" i="28"/>
  <c r="ID63" i="28"/>
  <c r="IE63" i="28"/>
  <c r="IF63" i="28"/>
  <c r="IG63" i="28"/>
  <c r="IH63" i="28"/>
  <c r="II63" i="28"/>
  <c r="IJ63" i="28"/>
  <c r="IK63" i="28"/>
  <c r="IL63" i="28"/>
  <c r="IM63" i="28"/>
  <c r="IN63" i="28"/>
  <c r="IO63" i="28"/>
  <c r="IP63" i="28"/>
  <c r="IQ63" i="28"/>
  <c r="IR63" i="28"/>
  <c r="IS63" i="28"/>
  <c r="IT63" i="28"/>
  <c r="IU63" i="28"/>
  <c r="IV63" i="28"/>
  <c r="A62" i="28"/>
  <c r="B62" i="28"/>
  <c r="C62" i="28"/>
  <c r="D62" i="28"/>
  <c r="E62" i="28"/>
  <c r="F62" i="28"/>
  <c r="G62" i="28"/>
  <c r="H62" i="28"/>
  <c r="I62" i="28"/>
  <c r="J62" i="28"/>
  <c r="K62" i="28"/>
  <c r="L62" i="28"/>
  <c r="M62" i="28"/>
  <c r="N62" i="28"/>
  <c r="O62" i="28"/>
  <c r="P62" i="28"/>
  <c r="Q62" i="28"/>
  <c r="R62" i="28"/>
  <c r="S62" i="28"/>
  <c r="T62" i="28"/>
  <c r="U62" i="28"/>
  <c r="V62" i="28"/>
  <c r="W62" i="28"/>
  <c r="X62" i="28"/>
  <c r="Y62" i="28"/>
  <c r="Z62" i="28"/>
  <c r="AA62" i="28"/>
  <c r="AB62" i="28"/>
  <c r="AC62" i="28"/>
  <c r="AD62" i="28"/>
  <c r="AE62" i="28"/>
  <c r="AF62" i="28"/>
  <c r="AG62" i="28"/>
  <c r="AH62" i="28"/>
  <c r="AI62" i="28"/>
  <c r="AJ62" i="28"/>
  <c r="AK62" i="28"/>
  <c r="AL62" i="28"/>
  <c r="AM62" i="28"/>
  <c r="AN62" i="28"/>
  <c r="AO62" i="28"/>
  <c r="AP62" i="28"/>
  <c r="AQ62" i="28"/>
  <c r="AR62" i="28"/>
  <c r="AS62" i="28"/>
  <c r="AT62" i="28"/>
  <c r="AU62" i="28"/>
  <c r="AV62" i="28"/>
  <c r="AW62" i="28"/>
  <c r="AX62" i="28"/>
  <c r="AY62" i="28"/>
  <c r="AZ62" i="28"/>
  <c r="BA62" i="28"/>
  <c r="BB62" i="28"/>
  <c r="BC62" i="28"/>
  <c r="BD62" i="28"/>
  <c r="BE62" i="28"/>
  <c r="BF62" i="28"/>
  <c r="BG62" i="28"/>
  <c r="BH62" i="28"/>
  <c r="BI62" i="28"/>
  <c r="BJ62" i="28"/>
  <c r="BK62" i="28"/>
  <c r="BL62" i="28"/>
  <c r="BM62" i="28"/>
  <c r="BN62" i="28"/>
  <c r="BO62" i="28"/>
  <c r="BP62" i="28"/>
  <c r="BQ62" i="28"/>
  <c r="BR62" i="28"/>
  <c r="BS62" i="28"/>
  <c r="BT62" i="28"/>
  <c r="BU62" i="28"/>
  <c r="BV62" i="28"/>
  <c r="BW62" i="28"/>
  <c r="BX62" i="28"/>
  <c r="BY62" i="28"/>
  <c r="BZ62" i="28"/>
  <c r="CA62" i="28"/>
  <c r="CB62" i="28"/>
  <c r="CC62" i="28"/>
  <c r="CD62" i="28"/>
  <c r="CE62" i="28"/>
  <c r="CF62" i="28"/>
  <c r="CG62" i="28"/>
  <c r="CH62" i="28"/>
  <c r="CI62" i="28"/>
  <c r="CJ62" i="28"/>
  <c r="CK62" i="28"/>
  <c r="CL62" i="28"/>
  <c r="CM62" i="28"/>
  <c r="CN62" i="28"/>
  <c r="CO62" i="28"/>
  <c r="CP62" i="28"/>
  <c r="CQ62" i="28"/>
  <c r="CR62" i="28"/>
  <c r="CS62" i="28"/>
  <c r="CT62" i="28"/>
  <c r="CU62" i="28"/>
  <c r="CV62" i="28"/>
  <c r="CW62" i="28"/>
  <c r="CX62" i="28"/>
  <c r="CY62" i="28"/>
  <c r="CZ62" i="28"/>
  <c r="DA62" i="28"/>
  <c r="DB62" i="28"/>
  <c r="DC62" i="28"/>
  <c r="DD62" i="28"/>
  <c r="DE62" i="28"/>
  <c r="DF62" i="28"/>
  <c r="DG62" i="28"/>
  <c r="DH62" i="28"/>
  <c r="DI62" i="28"/>
  <c r="DJ62" i="28"/>
  <c r="DK62" i="28"/>
  <c r="DL62" i="28"/>
  <c r="DM62" i="28"/>
  <c r="DN62" i="28"/>
  <c r="DO62" i="28"/>
  <c r="DP62" i="28"/>
  <c r="DQ62" i="28"/>
  <c r="DR62" i="28"/>
  <c r="DS62" i="28"/>
  <c r="DT62" i="28"/>
  <c r="DU62" i="28"/>
  <c r="DV62" i="28"/>
  <c r="DW62" i="28"/>
  <c r="DX62" i="28"/>
  <c r="DY62" i="28"/>
  <c r="DZ62" i="28"/>
  <c r="EA62" i="28"/>
  <c r="EB62" i="28"/>
  <c r="EC62" i="28"/>
  <c r="ED62" i="28"/>
  <c r="EE62" i="28"/>
  <c r="EF62" i="28"/>
  <c r="EG62" i="28"/>
  <c r="EH62" i="28"/>
  <c r="EI62" i="28"/>
  <c r="EJ62" i="28"/>
  <c r="EK62" i="28"/>
  <c r="EL62" i="28"/>
  <c r="EM62" i="28"/>
  <c r="EN62" i="28"/>
  <c r="EO62" i="28"/>
  <c r="EP62" i="28"/>
  <c r="EQ62" i="28"/>
  <c r="ER62" i="28"/>
  <c r="ES62" i="28"/>
  <c r="ET62" i="28"/>
  <c r="EU62" i="28"/>
  <c r="EV62" i="28"/>
  <c r="EW62" i="28"/>
  <c r="EX62" i="28"/>
  <c r="EY62" i="28"/>
  <c r="EZ62" i="28"/>
  <c r="FA62" i="28"/>
  <c r="FB62" i="28"/>
  <c r="FC62" i="28"/>
  <c r="FD62" i="28"/>
  <c r="FE62" i="28"/>
  <c r="FF62" i="28"/>
  <c r="FG62" i="28"/>
  <c r="FH62" i="28"/>
  <c r="FI62" i="28"/>
  <c r="FJ62" i="28"/>
  <c r="FK62" i="28"/>
  <c r="FL62" i="28"/>
  <c r="FM62" i="28"/>
  <c r="FN62" i="28"/>
  <c r="FO62" i="28"/>
  <c r="FP62" i="28"/>
  <c r="FQ62" i="28"/>
  <c r="FR62" i="28"/>
  <c r="FS62" i="28"/>
  <c r="FT62" i="28"/>
  <c r="FU62" i="28"/>
  <c r="FV62" i="28"/>
  <c r="FW62" i="28"/>
  <c r="FX62" i="28"/>
  <c r="FY62" i="28"/>
  <c r="FZ62" i="28"/>
  <c r="GA62" i="28"/>
  <c r="GB62" i="28"/>
  <c r="GC62" i="28"/>
  <c r="GD62" i="28"/>
  <c r="GE62" i="28"/>
  <c r="GF62" i="28"/>
  <c r="GG62" i="28"/>
  <c r="GH62" i="28"/>
  <c r="GI62" i="28"/>
  <c r="GJ62" i="28"/>
  <c r="GK62" i="28"/>
  <c r="GL62" i="28"/>
  <c r="GM62" i="28"/>
  <c r="GN62" i="28"/>
  <c r="GO62" i="28"/>
  <c r="GP62" i="28"/>
  <c r="GQ62" i="28"/>
  <c r="GR62" i="28"/>
  <c r="GS62" i="28"/>
  <c r="GT62" i="28"/>
  <c r="GU62" i="28"/>
  <c r="GV62" i="28"/>
  <c r="GW62" i="28"/>
  <c r="GX62" i="28"/>
  <c r="GY62" i="28"/>
  <c r="GZ62" i="28"/>
  <c r="HA62" i="28"/>
  <c r="HB62" i="28"/>
  <c r="HC62" i="28"/>
  <c r="HD62" i="28"/>
  <c r="HE62" i="28"/>
  <c r="HF62" i="28"/>
  <c r="HG62" i="28"/>
  <c r="HH62" i="28"/>
  <c r="HI62" i="28"/>
  <c r="HJ62" i="28"/>
  <c r="HK62" i="28"/>
  <c r="HL62" i="28"/>
  <c r="HM62" i="28"/>
  <c r="HN62" i="28"/>
  <c r="HO62" i="28"/>
  <c r="HP62" i="28"/>
  <c r="HQ62" i="28"/>
  <c r="HR62" i="28"/>
  <c r="HS62" i="28"/>
  <c r="HT62" i="28"/>
  <c r="HU62" i="28"/>
  <c r="HV62" i="28"/>
  <c r="HW62" i="28"/>
  <c r="HX62" i="28"/>
  <c r="HY62" i="28"/>
  <c r="HZ62" i="28"/>
  <c r="IA62" i="28"/>
  <c r="IB62" i="28"/>
  <c r="IC62" i="28"/>
  <c r="ID62" i="28"/>
  <c r="IE62" i="28"/>
  <c r="IF62" i="28"/>
  <c r="IG62" i="28"/>
  <c r="IH62" i="28"/>
  <c r="II62" i="28"/>
  <c r="IJ62" i="28"/>
  <c r="IK62" i="28"/>
  <c r="IL62" i="28"/>
  <c r="IM62" i="28"/>
  <c r="IN62" i="28"/>
  <c r="IO62" i="28"/>
  <c r="IP62" i="28"/>
  <c r="IQ62" i="28"/>
  <c r="IR62" i="28"/>
  <c r="IS62" i="28"/>
  <c r="IT62" i="28"/>
  <c r="IU62" i="28"/>
  <c r="IV62" i="28"/>
  <c r="A61" i="28"/>
  <c r="B61" i="28"/>
  <c r="C61" i="28"/>
  <c r="D61" i="28"/>
  <c r="E61" i="28"/>
  <c r="F61" i="28"/>
  <c r="G61" i="28"/>
  <c r="H61" i="28"/>
  <c r="I61" i="28"/>
  <c r="J61" i="28"/>
  <c r="K61" i="28"/>
  <c r="L61" i="28"/>
  <c r="M61" i="28"/>
  <c r="N61" i="28"/>
  <c r="O61" i="28"/>
  <c r="P61" i="28"/>
  <c r="Q61" i="28"/>
  <c r="R61" i="28"/>
  <c r="S61" i="28"/>
  <c r="T61" i="28"/>
  <c r="U61" i="28"/>
  <c r="V61" i="28"/>
  <c r="W61" i="28"/>
  <c r="X61" i="28"/>
  <c r="Y61" i="28"/>
  <c r="Z61" i="28"/>
  <c r="AA61" i="28"/>
  <c r="AB61" i="28"/>
  <c r="AC61" i="28"/>
  <c r="AD61" i="28"/>
  <c r="AE61" i="28"/>
  <c r="AF61" i="28"/>
  <c r="AG61" i="28"/>
  <c r="AH61" i="28"/>
  <c r="AI61" i="28"/>
  <c r="AJ61" i="28"/>
  <c r="AK61" i="28"/>
  <c r="AL61" i="28"/>
  <c r="AM61" i="28"/>
  <c r="AN61" i="28"/>
  <c r="AO61" i="28"/>
  <c r="AP61" i="28"/>
  <c r="AQ61" i="28"/>
  <c r="AR61" i="28"/>
  <c r="AS61" i="28"/>
  <c r="AT61" i="28"/>
  <c r="AU61" i="28"/>
  <c r="AV61" i="28"/>
  <c r="AW61" i="28"/>
  <c r="AX61" i="28"/>
  <c r="AY61" i="28"/>
  <c r="AZ61" i="28"/>
  <c r="BA61" i="28"/>
  <c r="BB61" i="28"/>
  <c r="BC61" i="28"/>
  <c r="BD61" i="28"/>
  <c r="BE61" i="28"/>
  <c r="BF61" i="28"/>
  <c r="BG61" i="28"/>
  <c r="BH61" i="28"/>
  <c r="BI61" i="28"/>
  <c r="BJ61" i="28"/>
  <c r="BK61" i="28"/>
  <c r="BL61" i="28"/>
  <c r="BM61" i="28"/>
  <c r="BN61" i="28"/>
  <c r="BO61" i="28"/>
  <c r="BP61" i="28"/>
  <c r="BQ61" i="28"/>
  <c r="BR61" i="28"/>
  <c r="BS61" i="28"/>
  <c r="BT61" i="28"/>
  <c r="BU61" i="28"/>
  <c r="BV61" i="28"/>
  <c r="BW61" i="28"/>
  <c r="BX61" i="28"/>
  <c r="BY61" i="28"/>
  <c r="BZ61" i="28"/>
  <c r="CA61" i="28"/>
  <c r="CB61" i="28"/>
  <c r="CC61" i="28"/>
  <c r="CD61" i="28"/>
  <c r="CE61" i="28"/>
  <c r="CF61" i="28"/>
  <c r="CG61" i="28"/>
  <c r="CH61" i="28"/>
  <c r="CI61" i="28"/>
  <c r="CJ61" i="28"/>
  <c r="CK61" i="28"/>
  <c r="CL61" i="28"/>
  <c r="CM61" i="28"/>
  <c r="CN61" i="28"/>
  <c r="CO61" i="28"/>
  <c r="CP61" i="28"/>
  <c r="CQ61" i="28"/>
  <c r="CR61" i="28"/>
  <c r="CS61" i="28"/>
  <c r="CT61" i="28"/>
  <c r="CU61" i="28"/>
  <c r="CV61" i="28"/>
  <c r="CW61" i="28"/>
  <c r="CX61" i="28"/>
  <c r="CY61" i="28"/>
  <c r="CZ61" i="28"/>
  <c r="DA61" i="28"/>
  <c r="DB61" i="28"/>
  <c r="DC61" i="28"/>
  <c r="DD61" i="28"/>
  <c r="DE61" i="28"/>
  <c r="DF61" i="28"/>
  <c r="DG61" i="28"/>
  <c r="DH61" i="28"/>
  <c r="DI61" i="28"/>
  <c r="DJ61" i="28"/>
  <c r="DK61" i="28"/>
  <c r="DL61" i="28"/>
  <c r="DM61" i="28"/>
  <c r="DN61" i="28"/>
  <c r="DO61" i="28"/>
  <c r="DP61" i="28"/>
  <c r="DQ61" i="28"/>
  <c r="DR61" i="28"/>
  <c r="DS61" i="28"/>
  <c r="DT61" i="28"/>
  <c r="DU61" i="28"/>
  <c r="DV61" i="28"/>
  <c r="DW61" i="28"/>
  <c r="DX61" i="28"/>
  <c r="DY61" i="28"/>
  <c r="DZ61" i="28"/>
  <c r="EA61" i="28"/>
  <c r="EB61" i="28"/>
  <c r="EC61" i="28"/>
  <c r="ED61" i="28"/>
  <c r="EE61" i="28"/>
  <c r="EF61" i="28"/>
  <c r="EG61" i="28"/>
  <c r="EH61" i="28"/>
  <c r="EI61" i="28"/>
  <c r="EJ61" i="28"/>
  <c r="EK61" i="28"/>
  <c r="EL61" i="28"/>
  <c r="EM61" i="28"/>
  <c r="EN61" i="28"/>
  <c r="EO61" i="28"/>
  <c r="EP61" i="28"/>
  <c r="EQ61" i="28"/>
  <c r="ER61" i="28"/>
  <c r="ES61" i="28"/>
  <c r="ET61" i="28"/>
  <c r="EU61" i="28"/>
  <c r="EV61" i="28"/>
  <c r="EW61" i="28"/>
  <c r="EX61" i="28"/>
  <c r="EY61" i="28"/>
  <c r="EZ61" i="28"/>
  <c r="FA61" i="28"/>
  <c r="FB61" i="28"/>
  <c r="FC61" i="28"/>
  <c r="FD61" i="28"/>
  <c r="FE61" i="28"/>
  <c r="FF61" i="28"/>
  <c r="FG61" i="28"/>
  <c r="FH61" i="28"/>
  <c r="FI61" i="28"/>
  <c r="FJ61" i="28"/>
  <c r="FK61" i="28"/>
  <c r="FL61" i="28"/>
  <c r="FM61" i="28"/>
  <c r="FN61" i="28"/>
  <c r="FO61" i="28"/>
  <c r="FP61" i="28"/>
  <c r="FQ61" i="28"/>
  <c r="FR61" i="28"/>
  <c r="FS61" i="28"/>
  <c r="FT61" i="28"/>
  <c r="FU61" i="28"/>
  <c r="FV61" i="28"/>
  <c r="FW61" i="28"/>
  <c r="FX61" i="28"/>
  <c r="FY61" i="28"/>
  <c r="FZ61" i="28"/>
  <c r="GA61" i="28"/>
  <c r="GB61" i="28"/>
  <c r="GC61" i="28"/>
  <c r="GD61" i="28"/>
  <c r="GE61" i="28"/>
  <c r="GF61" i="28"/>
  <c r="GG61" i="28"/>
  <c r="GH61" i="28"/>
  <c r="GI61" i="28"/>
  <c r="GJ61" i="28"/>
  <c r="GK61" i="28"/>
  <c r="GL61" i="28"/>
  <c r="GM61" i="28"/>
  <c r="GN61" i="28"/>
  <c r="GO61" i="28"/>
  <c r="GP61" i="28"/>
  <c r="GQ61" i="28"/>
  <c r="GR61" i="28"/>
  <c r="GS61" i="28"/>
  <c r="GT61" i="28"/>
  <c r="GU61" i="28"/>
  <c r="GV61" i="28"/>
  <c r="GW61" i="28"/>
  <c r="GX61" i="28"/>
  <c r="GY61" i="28"/>
  <c r="GZ61" i="28"/>
  <c r="HA61" i="28"/>
  <c r="HB61" i="28"/>
  <c r="HC61" i="28"/>
  <c r="HD61" i="28"/>
  <c r="HE61" i="28"/>
  <c r="HF61" i="28"/>
  <c r="HG61" i="28"/>
  <c r="HH61" i="28"/>
  <c r="HI61" i="28"/>
  <c r="HJ61" i="28"/>
  <c r="HK61" i="28"/>
  <c r="HL61" i="28"/>
  <c r="HM61" i="28"/>
  <c r="HN61" i="28"/>
  <c r="HO61" i="28"/>
  <c r="HP61" i="28"/>
  <c r="HQ61" i="28"/>
  <c r="HR61" i="28"/>
  <c r="HS61" i="28"/>
  <c r="HT61" i="28"/>
  <c r="HU61" i="28"/>
  <c r="HV61" i="28"/>
  <c r="HW61" i="28"/>
  <c r="HX61" i="28"/>
  <c r="HY61" i="28"/>
  <c r="HZ61" i="28"/>
  <c r="IA61" i="28"/>
  <c r="IB61" i="28"/>
  <c r="IC61" i="28"/>
  <c r="ID61" i="28"/>
  <c r="IE61" i="28"/>
  <c r="IF61" i="28"/>
  <c r="IG61" i="28"/>
  <c r="IH61" i="28"/>
  <c r="II61" i="28"/>
  <c r="IJ61" i="28"/>
  <c r="IK61" i="28"/>
  <c r="IL61" i="28"/>
  <c r="IM61" i="28"/>
  <c r="IN61" i="28"/>
  <c r="IO61" i="28"/>
  <c r="IP61" i="28"/>
  <c r="IQ61" i="28"/>
  <c r="IR61" i="28"/>
  <c r="IS61" i="28"/>
  <c r="IT61" i="28"/>
  <c r="IU61" i="28"/>
  <c r="IV61" i="28"/>
  <c r="A60" i="28"/>
  <c r="B60" i="28"/>
  <c r="C60" i="28"/>
  <c r="D60" i="28"/>
  <c r="E60" i="28"/>
  <c r="F60" i="28"/>
  <c r="G60" i="28"/>
  <c r="H60" i="28"/>
  <c r="I60" i="28"/>
  <c r="J60" i="28"/>
  <c r="K60" i="28"/>
  <c r="L60" i="28"/>
  <c r="M60" i="28"/>
  <c r="N60" i="28"/>
  <c r="O60" i="28"/>
  <c r="P60" i="28"/>
  <c r="Q60" i="28"/>
  <c r="R60" i="28"/>
  <c r="S60" i="28"/>
  <c r="T60" i="28"/>
  <c r="U60" i="28"/>
  <c r="V60" i="28"/>
  <c r="W60" i="28"/>
  <c r="X60" i="28"/>
  <c r="Y60" i="28"/>
  <c r="Z60" i="28"/>
  <c r="AA60" i="28"/>
  <c r="AB60" i="28"/>
  <c r="AC60" i="28"/>
  <c r="AD60" i="28"/>
  <c r="AE60" i="28"/>
  <c r="AF60" i="28"/>
  <c r="AG60" i="28"/>
  <c r="AH60" i="28"/>
  <c r="AI60" i="28"/>
  <c r="AJ60" i="28"/>
  <c r="AK60" i="28"/>
  <c r="AL60" i="28"/>
  <c r="AM60" i="28"/>
  <c r="AN60" i="28"/>
  <c r="AO60" i="28"/>
  <c r="AP60" i="28"/>
  <c r="AQ60" i="28"/>
  <c r="AR60" i="28"/>
  <c r="AS60" i="28"/>
  <c r="AT60" i="28"/>
  <c r="AU60" i="28"/>
  <c r="AV60" i="28"/>
  <c r="AW60" i="28"/>
  <c r="AX60" i="28"/>
  <c r="AY60" i="28"/>
  <c r="AZ60" i="28"/>
  <c r="BA60" i="28"/>
  <c r="BB60" i="28"/>
  <c r="BC60" i="28"/>
  <c r="BD60" i="28"/>
  <c r="BE60" i="28"/>
  <c r="BF60" i="28"/>
  <c r="BG60" i="28"/>
  <c r="BH60" i="28"/>
  <c r="BI60" i="28"/>
  <c r="BJ60" i="28"/>
  <c r="BK60" i="28"/>
  <c r="BL60" i="28"/>
  <c r="BM60" i="28"/>
  <c r="BN60" i="28"/>
  <c r="BO60" i="28"/>
  <c r="BP60" i="28"/>
  <c r="BQ60" i="28"/>
  <c r="BR60" i="28"/>
  <c r="BS60" i="28"/>
  <c r="BT60" i="28"/>
  <c r="BU60" i="28"/>
  <c r="BV60" i="28"/>
  <c r="BW60" i="28"/>
  <c r="BX60" i="28"/>
  <c r="BY60" i="28"/>
  <c r="BZ60" i="28"/>
  <c r="CA60" i="28"/>
  <c r="CB60" i="28"/>
  <c r="CC60" i="28"/>
  <c r="CD60" i="28"/>
  <c r="CE60" i="28"/>
  <c r="CF60" i="28"/>
  <c r="CG60" i="28"/>
  <c r="CH60" i="28"/>
  <c r="CI60" i="28"/>
  <c r="CJ60" i="28"/>
  <c r="CK60" i="28"/>
  <c r="CL60" i="28"/>
  <c r="CM60" i="28"/>
  <c r="CN60" i="28"/>
  <c r="CO60" i="28"/>
  <c r="CP60" i="28"/>
  <c r="CQ60" i="28"/>
  <c r="CR60" i="28"/>
  <c r="CS60" i="28"/>
  <c r="CT60" i="28"/>
  <c r="CU60" i="28"/>
  <c r="CV60" i="28"/>
  <c r="CW60" i="28"/>
  <c r="CX60" i="28"/>
  <c r="CY60" i="28"/>
  <c r="CZ60" i="28"/>
  <c r="DA60" i="28"/>
  <c r="DB60" i="28"/>
  <c r="DC60" i="28"/>
  <c r="DD60" i="28"/>
  <c r="DE60" i="28"/>
  <c r="DF60" i="28"/>
  <c r="DG60" i="28"/>
  <c r="DH60" i="28"/>
  <c r="DI60" i="28"/>
  <c r="DJ60" i="28"/>
  <c r="DK60" i="28"/>
  <c r="DL60" i="28"/>
  <c r="DM60" i="28"/>
  <c r="DN60" i="28"/>
  <c r="DO60" i="28"/>
  <c r="DP60" i="28"/>
  <c r="DQ60" i="28"/>
  <c r="DR60" i="28"/>
  <c r="DS60" i="28"/>
  <c r="DT60" i="28"/>
  <c r="DU60" i="28"/>
  <c r="DV60" i="28"/>
  <c r="DW60" i="28"/>
  <c r="DX60" i="28"/>
  <c r="DY60" i="28"/>
  <c r="DZ60" i="28"/>
  <c r="EA60" i="28"/>
  <c r="EB60" i="28"/>
  <c r="EC60" i="28"/>
  <c r="ED60" i="28"/>
  <c r="EE60" i="28"/>
  <c r="EF60" i="28"/>
  <c r="EG60" i="28"/>
  <c r="EH60" i="28"/>
  <c r="EI60" i="28"/>
  <c r="EJ60" i="28"/>
  <c r="EK60" i="28"/>
  <c r="EL60" i="28"/>
  <c r="EM60" i="28"/>
  <c r="EN60" i="28"/>
  <c r="EO60" i="28"/>
  <c r="EP60" i="28"/>
  <c r="EQ60" i="28"/>
  <c r="ER60" i="28"/>
  <c r="ES60" i="28"/>
  <c r="ET60" i="28"/>
  <c r="EU60" i="28"/>
  <c r="EV60" i="28"/>
  <c r="EW60" i="28"/>
  <c r="EX60" i="28"/>
  <c r="EY60" i="28"/>
  <c r="EZ60" i="28"/>
  <c r="FA60" i="28"/>
  <c r="FB60" i="28"/>
  <c r="FC60" i="28"/>
  <c r="FD60" i="28"/>
  <c r="FE60" i="28"/>
  <c r="FF60" i="28"/>
  <c r="FG60" i="28"/>
  <c r="FH60" i="28"/>
  <c r="FI60" i="28"/>
  <c r="FJ60" i="28"/>
  <c r="FK60" i="28"/>
  <c r="FL60" i="28"/>
  <c r="FM60" i="28"/>
  <c r="FN60" i="28"/>
  <c r="FO60" i="28"/>
  <c r="FP60" i="28"/>
  <c r="FQ60" i="28"/>
  <c r="FR60" i="28"/>
  <c r="FS60" i="28"/>
  <c r="FT60" i="28"/>
  <c r="FU60" i="28"/>
  <c r="FV60" i="28"/>
  <c r="FW60" i="28"/>
  <c r="FX60" i="28"/>
  <c r="FY60" i="28"/>
  <c r="FZ60" i="28"/>
  <c r="GA60" i="28"/>
  <c r="GB60" i="28"/>
  <c r="GC60" i="28"/>
  <c r="GD60" i="28"/>
  <c r="GE60" i="28"/>
  <c r="GF60" i="28"/>
  <c r="GG60" i="28"/>
  <c r="GH60" i="28"/>
  <c r="GI60" i="28"/>
  <c r="GJ60" i="28"/>
  <c r="GK60" i="28"/>
  <c r="GL60" i="28"/>
  <c r="GM60" i="28"/>
  <c r="GN60" i="28"/>
  <c r="GO60" i="28"/>
  <c r="GP60" i="28"/>
  <c r="GQ60" i="28"/>
  <c r="GR60" i="28"/>
  <c r="GS60" i="28"/>
  <c r="GT60" i="28"/>
  <c r="GU60" i="28"/>
  <c r="GV60" i="28"/>
  <c r="GW60" i="28"/>
  <c r="GX60" i="28"/>
  <c r="GY60" i="28"/>
  <c r="GZ60" i="28"/>
  <c r="HA60" i="28"/>
  <c r="HB60" i="28"/>
  <c r="HC60" i="28"/>
  <c r="HD60" i="28"/>
  <c r="HE60" i="28"/>
  <c r="HF60" i="28"/>
  <c r="HG60" i="28"/>
  <c r="HH60" i="28"/>
  <c r="HI60" i="28"/>
  <c r="HJ60" i="28"/>
  <c r="HK60" i="28"/>
  <c r="HL60" i="28"/>
  <c r="HM60" i="28"/>
  <c r="HN60" i="28"/>
  <c r="HO60" i="28"/>
  <c r="HP60" i="28"/>
  <c r="HQ60" i="28"/>
  <c r="HR60" i="28"/>
  <c r="HS60" i="28"/>
  <c r="HT60" i="28"/>
  <c r="HU60" i="28"/>
  <c r="HV60" i="28"/>
  <c r="HW60" i="28"/>
  <c r="HX60" i="28"/>
  <c r="HY60" i="28"/>
  <c r="HZ60" i="28"/>
  <c r="IA60" i="28"/>
  <c r="IB60" i="28"/>
  <c r="IC60" i="28"/>
  <c r="ID60" i="28"/>
  <c r="IE60" i="28"/>
  <c r="IF60" i="28"/>
  <c r="IG60" i="28"/>
  <c r="IH60" i="28"/>
  <c r="II60" i="28"/>
  <c r="IJ60" i="28"/>
  <c r="IK60" i="28"/>
  <c r="IL60" i="28"/>
  <c r="IM60" i="28"/>
  <c r="IN60" i="28"/>
  <c r="IO60" i="28"/>
  <c r="IP60" i="28"/>
  <c r="IQ60" i="28"/>
  <c r="IR60" i="28"/>
  <c r="IS60" i="28"/>
  <c r="IT60" i="28"/>
  <c r="IU60" i="28"/>
  <c r="IV60" i="28"/>
  <c r="A59" i="28"/>
  <c r="B59" i="28"/>
  <c r="C59" i="28"/>
  <c r="D59" i="28"/>
  <c r="E59" i="28"/>
  <c r="F59" i="28"/>
  <c r="G59" i="28"/>
  <c r="H59" i="28"/>
  <c r="I59" i="28"/>
  <c r="J59" i="28"/>
  <c r="K59" i="28"/>
  <c r="L59" i="28"/>
  <c r="M59" i="28"/>
  <c r="N59" i="28"/>
  <c r="O59" i="28"/>
  <c r="P59" i="28"/>
  <c r="Q59" i="28"/>
  <c r="R59" i="28"/>
  <c r="S59" i="28"/>
  <c r="T59" i="28"/>
  <c r="U59" i="28"/>
  <c r="V59" i="28"/>
  <c r="W59" i="28"/>
  <c r="X59" i="28"/>
  <c r="Y59" i="28"/>
  <c r="Z59" i="28"/>
  <c r="AA59" i="28"/>
  <c r="AB59" i="28"/>
  <c r="AC59" i="28"/>
  <c r="AD59" i="28"/>
  <c r="AE59" i="28"/>
  <c r="AF59" i="28"/>
  <c r="AG59" i="28"/>
  <c r="AH59" i="28"/>
  <c r="AI59" i="28"/>
  <c r="AJ59" i="28"/>
  <c r="AK59" i="28"/>
  <c r="AL59" i="28"/>
  <c r="AM59" i="28"/>
  <c r="AN59" i="28"/>
  <c r="AO59" i="28"/>
  <c r="AP59" i="28"/>
  <c r="AQ59" i="28"/>
  <c r="AR59" i="28"/>
  <c r="AS59" i="28"/>
  <c r="AT59" i="28"/>
  <c r="AU59" i="28"/>
  <c r="AV59" i="28"/>
  <c r="AW59" i="28"/>
  <c r="AX59" i="28"/>
  <c r="AY59" i="28"/>
  <c r="AZ59" i="28"/>
  <c r="BA59" i="28"/>
  <c r="BB59" i="28"/>
  <c r="BC59" i="28"/>
  <c r="BD59" i="28"/>
  <c r="BE59" i="28"/>
  <c r="BF59" i="28"/>
  <c r="BG59" i="28"/>
  <c r="BH59" i="28"/>
  <c r="BI59" i="28"/>
  <c r="BJ59" i="28"/>
  <c r="BK59" i="28"/>
  <c r="BL59" i="28"/>
  <c r="BM59" i="28"/>
  <c r="BN59" i="28"/>
  <c r="BO59" i="28"/>
  <c r="BP59" i="28"/>
  <c r="BQ59" i="28"/>
  <c r="BR59" i="28"/>
  <c r="BS59" i="28"/>
  <c r="BT59" i="28"/>
  <c r="BU59" i="28"/>
  <c r="BV59" i="28"/>
  <c r="BW59" i="28"/>
  <c r="BX59" i="28"/>
  <c r="BY59" i="28"/>
  <c r="BZ59" i="28"/>
  <c r="CA59" i="28"/>
  <c r="CB59" i="28"/>
  <c r="CC59" i="28"/>
  <c r="CD59" i="28"/>
  <c r="CE59" i="28"/>
  <c r="CF59" i="28"/>
  <c r="CG59" i="28"/>
  <c r="CH59" i="28"/>
  <c r="CI59" i="28"/>
  <c r="CJ59" i="28"/>
  <c r="CK59" i="28"/>
  <c r="CL59" i="28"/>
  <c r="CM59" i="28"/>
  <c r="CN59" i="28"/>
  <c r="CO59" i="28"/>
  <c r="CP59" i="28"/>
  <c r="CQ59" i="28"/>
  <c r="CR59" i="28"/>
  <c r="CS59" i="28"/>
  <c r="CT59" i="28"/>
  <c r="CU59" i="28"/>
  <c r="CV59" i="28"/>
  <c r="CW59" i="28"/>
  <c r="CX59" i="28"/>
  <c r="CY59" i="28"/>
  <c r="CZ59" i="28"/>
  <c r="DA59" i="28"/>
  <c r="DB59" i="28"/>
  <c r="DC59" i="28"/>
  <c r="DD59" i="28"/>
  <c r="DE59" i="28"/>
  <c r="DF59" i="28"/>
  <c r="DG59" i="28"/>
  <c r="DH59" i="28"/>
  <c r="DI59" i="28"/>
  <c r="DJ59" i="28"/>
  <c r="DK59" i="28"/>
  <c r="DL59" i="28"/>
  <c r="DM59" i="28"/>
  <c r="DN59" i="28"/>
  <c r="DO59" i="28"/>
  <c r="DP59" i="28"/>
  <c r="DQ59" i="28"/>
  <c r="DR59" i="28"/>
  <c r="DS59" i="28"/>
  <c r="DT59" i="28"/>
  <c r="DU59" i="28"/>
  <c r="DV59" i="28"/>
  <c r="DW59" i="28"/>
  <c r="DX59" i="28"/>
  <c r="DY59" i="28"/>
  <c r="DZ59" i="28"/>
  <c r="EA59" i="28"/>
  <c r="EB59" i="28"/>
  <c r="EC59" i="28"/>
  <c r="ED59" i="28"/>
  <c r="EE59" i="28"/>
  <c r="EF59" i="28"/>
  <c r="EG59" i="28"/>
  <c r="EH59" i="28"/>
  <c r="EI59" i="28"/>
  <c r="EJ59" i="28"/>
  <c r="EK59" i="28"/>
  <c r="EL59" i="28"/>
  <c r="EM59" i="28"/>
  <c r="EN59" i="28"/>
  <c r="EO59" i="28"/>
  <c r="EP59" i="28"/>
  <c r="EQ59" i="28"/>
  <c r="ER59" i="28"/>
  <c r="ES59" i="28"/>
  <c r="ET59" i="28"/>
  <c r="EU59" i="28"/>
  <c r="EV59" i="28"/>
  <c r="EW59" i="28"/>
  <c r="EX59" i="28"/>
  <c r="EY59" i="28"/>
  <c r="EZ59" i="28"/>
  <c r="FA59" i="28"/>
  <c r="FB59" i="28"/>
  <c r="FC59" i="28"/>
  <c r="FD59" i="28"/>
  <c r="FE59" i="28"/>
  <c r="FF59" i="28"/>
  <c r="FG59" i="28"/>
  <c r="FH59" i="28"/>
  <c r="FI59" i="28"/>
  <c r="FJ59" i="28"/>
  <c r="FK59" i="28"/>
  <c r="FL59" i="28"/>
  <c r="FM59" i="28"/>
  <c r="FN59" i="28"/>
  <c r="FO59" i="28"/>
  <c r="FP59" i="28"/>
  <c r="FQ59" i="28"/>
  <c r="FR59" i="28"/>
  <c r="FS59" i="28"/>
  <c r="FT59" i="28"/>
  <c r="FU59" i="28"/>
  <c r="FV59" i="28"/>
  <c r="FW59" i="28"/>
  <c r="FX59" i="28"/>
  <c r="FY59" i="28"/>
  <c r="FZ59" i="28"/>
  <c r="GA59" i="28"/>
  <c r="GB59" i="28"/>
  <c r="GC59" i="28"/>
  <c r="GD59" i="28"/>
  <c r="GE59" i="28"/>
  <c r="GF59" i="28"/>
  <c r="GG59" i="28"/>
  <c r="GH59" i="28"/>
  <c r="GI59" i="28"/>
  <c r="GJ59" i="28"/>
  <c r="GK59" i="28"/>
  <c r="GL59" i="28"/>
  <c r="GM59" i="28"/>
  <c r="GN59" i="28"/>
  <c r="GO59" i="28"/>
  <c r="GP59" i="28"/>
  <c r="GQ59" i="28"/>
  <c r="GR59" i="28"/>
  <c r="GS59" i="28"/>
  <c r="GT59" i="28"/>
  <c r="GU59" i="28"/>
  <c r="GV59" i="28"/>
  <c r="GW59" i="28"/>
  <c r="GX59" i="28"/>
  <c r="GY59" i="28"/>
  <c r="GZ59" i="28"/>
  <c r="HA59" i="28"/>
  <c r="HB59" i="28"/>
  <c r="HC59" i="28"/>
  <c r="HD59" i="28"/>
  <c r="HE59" i="28"/>
  <c r="HF59" i="28"/>
  <c r="HG59" i="28"/>
  <c r="HH59" i="28"/>
  <c r="HI59" i="28"/>
  <c r="HJ59" i="28"/>
  <c r="HK59" i="28"/>
  <c r="HL59" i="28"/>
  <c r="HM59" i="28"/>
  <c r="HN59" i="28"/>
  <c r="HO59" i="28"/>
  <c r="HP59" i="28"/>
  <c r="HQ59" i="28"/>
  <c r="HR59" i="28"/>
  <c r="HS59" i="28"/>
  <c r="HT59" i="28"/>
  <c r="HU59" i="28"/>
  <c r="HV59" i="28"/>
  <c r="HW59" i="28"/>
  <c r="HX59" i="28"/>
  <c r="HY59" i="28"/>
  <c r="HZ59" i="28"/>
  <c r="IA59" i="28"/>
  <c r="IB59" i="28"/>
  <c r="IC59" i="28"/>
  <c r="ID59" i="28"/>
  <c r="IE59" i="28"/>
  <c r="IF59" i="28"/>
  <c r="IG59" i="28"/>
  <c r="IH59" i="28"/>
  <c r="II59" i="28"/>
  <c r="IJ59" i="28"/>
  <c r="IK59" i="28"/>
  <c r="IL59" i="28"/>
  <c r="IM59" i="28"/>
  <c r="IN59" i="28"/>
  <c r="IO59" i="28"/>
  <c r="IP59" i="28"/>
  <c r="IQ59" i="28"/>
  <c r="IR59" i="28"/>
  <c r="IS59" i="28"/>
  <c r="IT59" i="28"/>
  <c r="IU59" i="28"/>
  <c r="IV59" i="28"/>
  <c r="A58" i="28"/>
  <c r="B58" i="28"/>
  <c r="C58" i="28"/>
  <c r="D58" i="28"/>
  <c r="E58" i="28"/>
  <c r="F58" i="28"/>
  <c r="G58" i="28"/>
  <c r="H58" i="28"/>
  <c r="I58" i="28"/>
  <c r="J58" i="28"/>
  <c r="K58" i="28"/>
  <c r="L58" i="28"/>
  <c r="M58" i="28"/>
  <c r="N58" i="28"/>
  <c r="O58" i="28"/>
  <c r="P58" i="28"/>
  <c r="Q58" i="28"/>
  <c r="R58" i="28"/>
  <c r="S58" i="28"/>
  <c r="T58" i="28"/>
  <c r="U58" i="28"/>
  <c r="V58" i="28"/>
  <c r="W58" i="28"/>
  <c r="X58" i="28"/>
  <c r="Y58" i="28"/>
  <c r="Z58" i="28"/>
  <c r="AA58" i="28"/>
  <c r="AB58" i="28"/>
  <c r="AC58" i="28"/>
  <c r="AD58" i="28"/>
  <c r="AE58" i="28"/>
  <c r="AF58" i="28"/>
  <c r="AG58" i="28"/>
  <c r="AH58" i="28"/>
  <c r="AI58" i="28"/>
  <c r="AJ58" i="28"/>
  <c r="AK58" i="28"/>
  <c r="AL58" i="28"/>
  <c r="AM58" i="28"/>
  <c r="AN58" i="28"/>
  <c r="AO58" i="28"/>
  <c r="AP58" i="28"/>
  <c r="AQ58" i="28"/>
  <c r="AR58" i="28"/>
  <c r="AS58" i="28"/>
  <c r="AT58" i="28"/>
  <c r="AU58" i="28"/>
  <c r="AV58" i="28"/>
  <c r="AW58" i="28"/>
  <c r="AX58" i="28"/>
  <c r="AY58" i="28"/>
  <c r="AZ58" i="28"/>
  <c r="BA58" i="28"/>
  <c r="BB58" i="28"/>
  <c r="BC58" i="28"/>
  <c r="BD58" i="28"/>
  <c r="BE58" i="28"/>
  <c r="BF58" i="28"/>
  <c r="BG58" i="28"/>
  <c r="BH58" i="28"/>
  <c r="BI58" i="28"/>
  <c r="BJ58" i="28"/>
  <c r="BK58" i="28"/>
  <c r="BL58" i="28"/>
  <c r="BM58" i="28"/>
  <c r="BN58" i="28"/>
  <c r="BO58" i="28"/>
  <c r="BP58" i="28"/>
  <c r="BQ58" i="28"/>
  <c r="BR58" i="28"/>
  <c r="BS58" i="28"/>
  <c r="BT58" i="28"/>
  <c r="BU58" i="28"/>
  <c r="BV58" i="28"/>
  <c r="BW58" i="28"/>
  <c r="BX58" i="28"/>
  <c r="BY58" i="28"/>
  <c r="BZ58" i="28"/>
  <c r="CA58" i="28"/>
  <c r="CB58" i="28"/>
  <c r="CC58" i="28"/>
  <c r="CD58" i="28"/>
  <c r="CE58" i="28"/>
  <c r="CF58" i="28"/>
  <c r="CG58" i="28"/>
  <c r="CH58" i="28"/>
  <c r="CI58" i="28"/>
  <c r="CJ58" i="28"/>
  <c r="CK58" i="28"/>
  <c r="CL58" i="28"/>
  <c r="CM58" i="28"/>
  <c r="CN58" i="28"/>
  <c r="CO58" i="28"/>
  <c r="CP58" i="28"/>
  <c r="CQ58" i="28"/>
  <c r="CR58" i="28"/>
  <c r="CS58" i="28"/>
  <c r="CT58" i="28"/>
  <c r="CU58" i="28"/>
  <c r="CV58" i="28"/>
  <c r="CW58" i="28"/>
  <c r="CX58" i="28"/>
  <c r="CY58" i="28"/>
  <c r="CZ58" i="28"/>
  <c r="DA58" i="28"/>
  <c r="DB58" i="28"/>
  <c r="DC58" i="28"/>
  <c r="DD58" i="28"/>
  <c r="DE58" i="28"/>
  <c r="DF58" i="28"/>
  <c r="DG58" i="28"/>
  <c r="DH58" i="28"/>
  <c r="DI58" i="28"/>
  <c r="DJ58" i="28"/>
  <c r="DK58" i="28"/>
  <c r="DL58" i="28"/>
  <c r="DM58" i="28"/>
  <c r="DN58" i="28"/>
  <c r="DO58" i="28"/>
  <c r="DP58" i="28"/>
  <c r="DQ58" i="28"/>
  <c r="DR58" i="28"/>
  <c r="DS58" i="28"/>
  <c r="DT58" i="28"/>
  <c r="DU58" i="28"/>
  <c r="DV58" i="28"/>
  <c r="DW58" i="28"/>
  <c r="DX58" i="28"/>
  <c r="DY58" i="28"/>
  <c r="DZ58" i="28"/>
  <c r="EA58" i="28"/>
  <c r="EB58" i="28"/>
  <c r="EC58" i="28"/>
  <c r="ED58" i="28"/>
  <c r="EE58" i="28"/>
  <c r="EF58" i="28"/>
  <c r="EG58" i="28"/>
  <c r="EH58" i="28"/>
  <c r="EI58" i="28"/>
  <c r="EJ58" i="28"/>
  <c r="EK58" i="28"/>
  <c r="EL58" i="28"/>
  <c r="EM58" i="28"/>
  <c r="EN58" i="28"/>
  <c r="EO58" i="28"/>
  <c r="EP58" i="28"/>
  <c r="EQ58" i="28"/>
  <c r="ER58" i="28"/>
  <c r="ES58" i="28"/>
  <c r="ET58" i="28"/>
  <c r="EU58" i="28"/>
  <c r="EV58" i="28"/>
  <c r="EW58" i="28"/>
  <c r="EX58" i="28"/>
  <c r="EY58" i="28"/>
  <c r="EZ58" i="28"/>
  <c r="FA58" i="28"/>
  <c r="FB58" i="28"/>
  <c r="FC58" i="28"/>
  <c r="FD58" i="28"/>
  <c r="FE58" i="28"/>
  <c r="FF58" i="28"/>
  <c r="FG58" i="28"/>
  <c r="FH58" i="28"/>
  <c r="FI58" i="28"/>
  <c r="FJ58" i="28"/>
  <c r="FK58" i="28"/>
  <c r="FL58" i="28"/>
  <c r="FM58" i="28"/>
  <c r="FN58" i="28"/>
  <c r="FO58" i="28"/>
  <c r="FP58" i="28"/>
  <c r="FQ58" i="28"/>
  <c r="FR58" i="28"/>
  <c r="FS58" i="28"/>
  <c r="FT58" i="28"/>
  <c r="FU58" i="28"/>
  <c r="FV58" i="28"/>
  <c r="FW58" i="28"/>
  <c r="FX58" i="28"/>
  <c r="FY58" i="28"/>
  <c r="FZ58" i="28"/>
  <c r="GA58" i="28"/>
  <c r="GB58" i="28"/>
  <c r="GC58" i="28"/>
  <c r="GD58" i="28"/>
  <c r="GE58" i="28"/>
  <c r="GF58" i="28"/>
  <c r="GG58" i="28"/>
  <c r="GH58" i="28"/>
  <c r="GI58" i="28"/>
  <c r="GJ58" i="28"/>
  <c r="GK58" i="28"/>
  <c r="GL58" i="28"/>
  <c r="GM58" i="28"/>
  <c r="GN58" i="28"/>
  <c r="GO58" i="28"/>
  <c r="GP58" i="28"/>
  <c r="GQ58" i="28"/>
  <c r="GR58" i="28"/>
  <c r="GS58" i="28"/>
  <c r="GT58" i="28"/>
  <c r="GU58" i="28"/>
  <c r="GV58" i="28"/>
  <c r="GW58" i="28"/>
  <c r="GX58" i="28"/>
  <c r="GY58" i="28"/>
  <c r="GZ58" i="28"/>
  <c r="HA58" i="28"/>
  <c r="HB58" i="28"/>
  <c r="HC58" i="28"/>
  <c r="HD58" i="28"/>
  <c r="HE58" i="28"/>
  <c r="HF58" i="28"/>
  <c r="HG58" i="28"/>
  <c r="HH58" i="28"/>
  <c r="HI58" i="28"/>
  <c r="HJ58" i="28"/>
  <c r="HK58" i="28"/>
  <c r="HL58" i="28"/>
  <c r="HM58" i="28"/>
  <c r="HN58" i="28"/>
  <c r="HO58" i="28"/>
  <c r="HP58" i="28"/>
  <c r="HQ58" i="28"/>
  <c r="HR58" i="28"/>
  <c r="HS58" i="28"/>
  <c r="HT58" i="28"/>
  <c r="HU58" i="28"/>
  <c r="HV58" i="28"/>
  <c r="HW58" i="28"/>
  <c r="HX58" i="28"/>
  <c r="HY58" i="28"/>
  <c r="HZ58" i="28"/>
  <c r="IA58" i="28"/>
  <c r="IB58" i="28"/>
  <c r="IC58" i="28"/>
  <c r="ID58" i="28"/>
  <c r="IE58" i="28"/>
  <c r="IF58" i="28"/>
  <c r="IG58" i="28"/>
  <c r="IH58" i="28"/>
  <c r="II58" i="28"/>
  <c r="IJ58" i="28"/>
  <c r="IK58" i="28"/>
  <c r="IL58" i="28"/>
  <c r="IM58" i="28"/>
  <c r="IN58" i="28"/>
  <c r="IO58" i="28"/>
  <c r="IP58" i="28"/>
  <c r="IQ58" i="28"/>
  <c r="IR58" i="28"/>
  <c r="IS58" i="28"/>
  <c r="IT58" i="28"/>
  <c r="IU58" i="28"/>
  <c r="IV58" i="28"/>
  <c r="A57" i="28"/>
  <c r="B57" i="28"/>
  <c r="C57" i="28"/>
  <c r="D57" i="28"/>
  <c r="E57" i="28"/>
  <c r="F57" i="28"/>
  <c r="G57" i="28"/>
  <c r="H57" i="28"/>
  <c r="I57" i="28"/>
  <c r="J57" i="28"/>
  <c r="K57" i="28"/>
  <c r="L57" i="28"/>
  <c r="M57" i="28"/>
  <c r="N57" i="28"/>
  <c r="O57" i="28"/>
  <c r="P57" i="28"/>
  <c r="Q57" i="28"/>
  <c r="R57" i="28"/>
  <c r="S57" i="28"/>
  <c r="T57" i="28"/>
  <c r="U57" i="28"/>
  <c r="V57" i="28"/>
  <c r="W57" i="28"/>
  <c r="X57" i="28"/>
  <c r="Y57" i="28"/>
  <c r="Z57" i="28"/>
  <c r="AA57" i="28"/>
  <c r="AB57" i="28"/>
  <c r="AC57" i="28"/>
  <c r="AD57" i="28"/>
  <c r="AE57" i="28"/>
  <c r="AF57" i="28"/>
  <c r="AG57" i="28"/>
  <c r="AH57" i="28"/>
  <c r="AI57" i="28"/>
  <c r="AJ57" i="28"/>
  <c r="AK57" i="28"/>
  <c r="AL57" i="28"/>
  <c r="AM57" i="28"/>
  <c r="AN57" i="28"/>
  <c r="AO57" i="28"/>
  <c r="AP57" i="28"/>
  <c r="AQ57" i="28"/>
  <c r="AR57" i="28"/>
  <c r="AS57" i="28"/>
  <c r="AT57" i="28"/>
  <c r="AU57" i="28"/>
  <c r="AV57" i="28"/>
  <c r="AW57" i="28"/>
  <c r="AX57" i="28"/>
  <c r="AY57" i="28"/>
  <c r="AZ57" i="28"/>
  <c r="BA57" i="28"/>
  <c r="BB57" i="28"/>
  <c r="BC57" i="28"/>
  <c r="BD57" i="28"/>
  <c r="BE57" i="28"/>
  <c r="BF57" i="28"/>
  <c r="BG57" i="28"/>
  <c r="BH57" i="28"/>
  <c r="BI57" i="28"/>
  <c r="BJ57" i="28"/>
  <c r="BK57" i="28"/>
  <c r="BL57" i="28"/>
  <c r="BM57" i="28"/>
  <c r="BN57" i="28"/>
  <c r="BO57" i="28"/>
  <c r="BP57" i="28"/>
  <c r="BQ57" i="28"/>
  <c r="BR57" i="28"/>
  <c r="BS57" i="28"/>
  <c r="BT57" i="28"/>
  <c r="BU57" i="28"/>
  <c r="BV57" i="28"/>
  <c r="BW57" i="28"/>
  <c r="BX57" i="28"/>
  <c r="BY57" i="28"/>
  <c r="BZ57" i="28"/>
  <c r="CA57" i="28"/>
  <c r="CB57" i="28"/>
  <c r="CC57" i="28"/>
  <c r="CD57" i="28"/>
  <c r="CE57" i="28"/>
  <c r="CF57" i="28"/>
  <c r="CG57" i="28"/>
  <c r="CH57" i="28"/>
  <c r="CI57" i="28"/>
  <c r="CJ57" i="28"/>
  <c r="CK57" i="28"/>
  <c r="CL57" i="28"/>
  <c r="CM57" i="28"/>
  <c r="CN57" i="28"/>
  <c r="CO57" i="28"/>
  <c r="CP57" i="28"/>
  <c r="CQ57" i="28"/>
  <c r="CR57" i="28"/>
  <c r="CS57" i="28"/>
  <c r="CT57" i="28"/>
  <c r="CU57" i="28"/>
  <c r="CV57" i="28"/>
  <c r="CW57" i="28"/>
  <c r="CX57" i="28"/>
  <c r="CY57" i="28"/>
  <c r="CZ57" i="28"/>
  <c r="DA57" i="28"/>
  <c r="DB57" i="28"/>
  <c r="DC57" i="28"/>
  <c r="DD57" i="28"/>
  <c r="DE57" i="28"/>
  <c r="DF57" i="28"/>
  <c r="DG57" i="28"/>
  <c r="DH57" i="28"/>
  <c r="DI57" i="28"/>
  <c r="DJ57" i="28"/>
  <c r="DK57" i="28"/>
  <c r="DL57" i="28"/>
  <c r="DM57" i="28"/>
  <c r="DN57" i="28"/>
  <c r="DO57" i="28"/>
  <c r="DP57" i="28"/>
  <c r="DQ57" i="28"/>
  <c r="DR57" i="28"/>
  <c r="DS57" i="28"/>
  <c r="DT57" i="28"/>
  <c r="DU57" i="28"/>
  <c r="DV57" i="28"/>
  <c r="DW57" i="28"/>
  <c r="DX57" i="28"/>
  <c r="DY57" i="28"/>
  <c r="DZ57" i="28"/>
  <c r="EA57" i="28"/>
  <c r="EB57" i="28"/>
  <c r="EC57" i="28"/>
  <c r="ED57" i="28"/>
  <c r="EE57" i="28"/>
  <c r="EF57" i="28"/>
  <c r="EG57" i="28"/>
  <c r="EH57" i="28"/>
  <c r="EI57" i="28"/>
  <c r="EJ57" i="28"/>
  <c r="EK57" i="28"/>
  <c r="EL57" i="28"/>
  <c r="EM57" i="28"/>
  <c r="EN57" i="28"/>
  <c r="EO57" i="28"/>
  <c r="EP57" i="28"/>
  <c r="EQ57" i="28"/>
  <c r="ER57" i="28"/>
  <c r="ES57" i="28"/>
  <c r="ET57" i="28"/>
  <c r="EU57" i="28"/>
  <c r="EV57" i="28"/>
  <c r="EW57" i="28"/>
  <c r="EX57" i="28"/>
  <c r="EY57" i="28"/>
  <c r="EZ57" i="28"/>
  <c r="FA57" i="28"/>
  <c r="FB57" i="28"/>
  <c r="FC57" i="28"/>
  <c r="FD57" i="28"/>
  <c r="FE57" i="28"/>
  <c r="FF57" i="28"/>
  <c r="FG57" i="28"/>
  <c r="FH57" i="28"/>
  <c r="FI57" i="28"/>
  <c r="FJ57" i="28"/>
  <c r="FK57" i="28"/>
  <c r="FL57" i="28"/>
  <c r="FM57" i="28"/>
  <c r="FN57" i="28"/>
  <c r="FO57" i="28"/>
  <c r="FP57" i="28"/>
  <c r="FQ57" i="28"/>
  <c r="FR57" i="28"/>
  <c r="FS57" i="28"/>
  <c r="FT57" i="28"/>
  <c r="FU57" i="28"/>
  <c r="FV57" i="28"/>
  <c r="FW57" i="28"/>
  <c r="FX57" i="28"/>
  <c r="FY57" i="28"/>
  <c r="FZ57" i="28"/>
  <c r="GA57" i="28"/>
  <c r="GB57" i="28"/>
  <c r="GC57" i="28"/>
  <c r="GD57" i="28"/>
  <c r="GE57" i="28"/>
  <c r="GF57" i="28"/>
  <c r="GG57" i="28"/>
  <c r="GH57" i="28"/>
  <c r="GI57" i="28"/>
  <c r="GJ57" i="28"/>
  <c r="GK57" i="28"/>
  <c r="GL57" i="28"/>
  <c r="GM57" i="28"/>
  <c r="GN57" i="28"/>
  <c r="GO57" i="28"/>
  <c r="GP57" i="28"/>
  <c r="GQ57" i="28"/>
  <c r="GR57" i="28"/>
  <c r="GS57" i="28"/>
  <c r="GT57" i="28"/>
  <c r="GU57" i="28"/>
  <c r="GV57" i="28"/>
  <c r="GW57" i="28"/>
  <c r="GX57" i="28"/>
  <c r="GY57" i="28"/>
  <c r="GZ57" i="28"/>
  <c r="HA57" i="28"/>
  <c r="HB57" i="28"/>
  <c r="HC57" i="28"/>
  <c r="HD57" i="28"/>
  <c r="HE57" i="28"/>
  <c r="HF57" i="28"/>
  <c r="HG57" i="28"/>
  <c r="HH57" i="28"/>
  <c r="HI57" i="28"/>
  <c r="HJ57" i="28"/>
  <c r="HK57" i="28"/>
  <c r="HL57" i="28"/>
  <c r="HM57" i="28"/>
  <c r="HN57" i="28"/>
  <c r="HO57" i="28"/>
  <c r="HP57" i="28"/>
  <c r="HQ57" i="28"/>
  <c r="HR57" i="28"/>
  <c r="HS57" i="28"/>
  <c r="HT57" i="28"/>
  <c r="HU57" i="28"/>
  <c r="HV57" i="28"/>
  <c r="HW57" i="28"/>
  <c r="HX57" i="28"/>
  <c r="HY57" i="28"/>
  <c r="HZ57" i="28"/>
  <c r="IA57" i="28"/>
  <c r="IB57" i="28"/>
  <c r="IC57" i="28"/>
  <c r="ID57" i="28"/>
  <c r="IE57" i="28"/>
  <c r="IF57" i="28"/>
  <c r="IG57" i="28"/>
  <c r="IH57" i="28"/>
  <c r="II57" i="28"/>
  <c r="IJ57" i="28"/>
  <c r="IK57" i="28"/>
  <c r="IL57" i="28"/>
  <c r="IM57" i="28"/>
  <c r="IN57" i="28"/>
  <c r="IO57" i="28"/>
  <c r="IP57" i="28"/>
  <c r="IQ57" i="28"/>
  <c r="IR57" i="28"/>
  <c r="IS57" i="28"/>
  <c r="IT57" i="28"/>
  <c r="IU57" i="28"/>
  <c r="IV57" i="28"/>
  <c r="A56" i="28"/>
  <c r="B56" i="28"/>
  <c r="C56" i="28"/>
  <c r="D56" i="28"/>
  <c r="E56" i="28"/>
  <c r="F56" i="28"/>
  <c r="G56" i="28"/>
  <c r="H56" i="28"/>
  <c r="I56" i="28"/>
  <c r="J56" i="28"/>
  <c r="K56" i="28"/>
  <c r="L56" i="28"/>
  <c r="M56" i="28"/>
  <c r="N56" i="28"/>
  <c r="O56" i="28"/>
  <c r="P56" i="28"/>
  <c r="Q56" i="28"/>
  <c r="R56" i="28"/>
  <c r="S56" i="28"/>
  <c r="T56" i="28"/>
  <c r="U56" i="28"/>
  <c r="V56" i="28"/>
  <c r="W56" i="28"/>
  <c r="X56" i="28"/>
  <c r="Y56" i="28"/>
  <c r="Z56" i="28"/>
  <c r="AA56" i="28"/>
  <c r="AB56" i="28"/>
  <c r="AC56" i="28"/>
  <c r="AD56" i="28"/>
  <c r="AE56" i="28"/>
  <c r="AF56" i="28"/>
  <c r="AG56" i="28"/>
  <c r="AH56" i="28"/>
  <c r="AI56" i="28"/>
  <c r="AJ56" i="28"/>
  <c r="AK56" i="28"/>
  <c r="AL56" i="28"/>
  <c r="AM56" i="28"/>
  <c r="AN56" i="28"/>
  <c r="AO56" i="28"/>
  <c r="AP56" i="28"/>
  <c r="AQ56" i="28"/>
  <c r="AR56" i="28"/>
  <c r="AS56" i="28"/>
  <c r="AT56" i="28"/>
  <c r="AU56" i="28"/>
  <c r="AV56" i="28"/>
  <c r="AW56" i="28"/>
  <c r="AX56" i="28"/>
  <c r="AY56" i="28"/>
  <c r="AZ56" i="28"/>
  <c r="BA56" i="28"/>
  <c r="BB56" i="28"/>
  <c r="BC56" i="28"/>
  <c r="BD56" i="28"/>
  <c r="BE56" i="28"/>
  <c r="BF56" i="28"/>
  <c r="BG56" i="28"/>
  <c r="BH56" i="28"/>
  <c r="BI56" i="28"/>
  <c r="BJ56" i="28"/>
  <c r="BK56" i="28"/>
  <c r="BL56" i="28"/>
  <c r="BM56" i="28"/>
  <c r="BN56" i="28"/>
  <c r="BO56" i="28"/>
  <c r="BP56" i="28"/>
  <c r="BQ56" i="28"/>
  <c r="BR56" i="28"/>
  <c r="BS56" i="28"/>
  <c r="BT56" i="28"/>
  <c r="BU56" i="28"/>
  <c r="BV56" i="28"/>
  <c r="BW56" i="28"/>
  <c r="BX56" i="28"/>
  <c r="BY56" i="28"/>
  <c r="BZ56" i="28"/>
  <c r="CA56" i="28"/>
  <c r="CB56" i="28"/>
  <c r="CC56" i="28"/>
  <c r="CD56" i="28"/>
  <c r="CE56" i="28"/>
  <c r="CF56" i="28"/>
  <c r="CG56" i="28"/>
  <c r="CH56" i="28"/>
  <c r="CI56" i="28"/>
  <c r="CJ56" i="28"/>
  <c r="CK56" i="28"/>
  <c r="CL56" i="28"/>
  <c r="CM56" i="28"/>
  <c r="CN56" i="28"/>
  <c r="CO56" i="28"/>
  <c r="CP56" i="28"/>
  <c r="CQ56" i="28"/>
  <c r="CR56" i="28"/>
  <c r="CS56" i="28"/>
  <c r="CT56" i="28"/>
  <c r="CU56" i="28"/>
  <c r="CV56" i="28"/>
  <c r="CW56" i="28"/>
  <c r="CX56" i="28"/>
  <c r="CY56" i="28"/>
  <c r="CZ56" i="28"/>
  <c r="DA56" i="28"/>
  <c r="DB56" i="28"/>
  <c r="DC56" i="28"/>
  <c r="DD56" i="28"/>
  <c r="DE56" i="28"/>
  <c r="DF56" i="28"/>
  <c r="DG56" i="28"/>
  <c r="DH56" i="28"/>
  <c r="DI56" i="28"/>
  <c r="DJ56" i="28"/>
  <c r="DK56" i="28"/>
  <c r="DL56" i="28"/>
  <c r="DM56" i="28"/>
  <c r="DN56" i="28"/>
  <c r="DO56" i="28"/>
  <c r="DP56" i="28"/>
  <c r="DQ56" i="28"/>
  <c r="DR56" i="28"/>
  <c r="DS56" i="28"/>
  <c r="DT56" i="28"/>
  <c r="DU56" i="28"/>
  <c r="DV56" i="28"/>
  <c r="DW56" i="28"/>
  <c r="DX56" i="28"/>
  <c r="DY56" i="28"/>
  <c r="DZ56" i="28"/>
  <c r="EA56" i="28"/>
  <c r="EB56" i="28"/>
  <c r="EC56" i="28"/>
  <c r="ED56" i="28"/>
  <c r="EE56" i="28"/>
  <c r="EF56" i="28"/>
  <c r="EG56" i="28"/>
  <c r="EH56" i="28"/>
  <c r="EI56" i="28"/>
  <c r="EJ56" i="28"/>
  <c r="EK56" i="28"/>
  <c r="EL56" i="28"/>
  <c r="EM56" i="28"/>
  <c r="EN56" i="28"/>
  <c r="EO56" i="28"/>
  <c r="EP56" i="28"/>
  <c r="EQ56" i="28"/>
  <c r="ER56" i="28"/>
  <c r="ES56" i="28"/>
  <c r="ET56" i="28"/>
  <c r="EU56" i="28"/>
  <c r="EV56" i="28"/>
  <c r="EW56" i="28"/>
  <c r="EX56" i="28"/>
  <c r="EY56" i="28"/>
  <c r="EZ56" i="28"/>
  <c r="FA56" i="28"/>
  <c r="FB56" i="28"/>
  <c r="FC56" i="28"/>
  <c r="FD56" i="28"/>
  <c r="FE56" i="28"/>
  <c r="FF56" i="28"/>
  <c r="FG56" i="28"/>
  <c r="FH56" i="28"/>
  <c r="FI56" i="28"/>
  <c r="FJ56" i="28"/>
  <c r="FK56" i="28"/>
  <c r="FL56" i="28"/>
  <c r="FM56" i="28"/>
  <c r="FN56" i="28"/>
  <c r="FO56" i="28"/>
  <c r="FP56" i="28"/>
  <c r="FQ56" i="28"/>
  <c r="FR56" i="28"/>
  <c r="FS56" i="28"/>
  <c r="FT56" i="28"/>
  <c r="FU56" i="28"/>
  <c r="FV56" i="28"/>
  <c r="FW56" i="28"/>
  <c r="FX56" i="28"/>
  <c r="FY56" i="28"/>
  <c r="FZ56" i="28"/>
  <c r="GA56" i="28"/>
  <c r="GB56" i="28"/>
  <c r="GC56" i="28"/>
  <c r="GD56" i="28"/>
  <c r="GE56" i="28"/>
  <c r="GF56" i="28"/>
  <c r="GG56" i="28"/>
  <c r="GH56" i="28"/>
  <c r="GI56" i="28"/>
  <c r="GJ56" i="28"/>
  <c r="GK56" i="28"/>
  <c r="GL56" i="28"/>
  <c r="GM56" i="28"/>
  <c r="GN56" i="28"/>
  <c r="GO56" i="28"/>
  <c r="GP56" i="28"/>
  <c r="GQ56" i="28"/>
  <c r="GR56" i="28"/>
  <c r="GS56" i="28"/>
  <c r="GT56" i="28"/>
  <c r="GU56" i="28"/>
  <c r="GV56" i="28"/>
  <c r="GW56" i="28"/>
  <c r="GX56" i="28"/>
  <c r="GY56" i="28"/>
  <c r="GZ56" i="28"/>
  <c r="HA56" i="28"/>
  <c r="HB56" i="28"/>
  <c r="HC56" i="28"/>
  <c r="HD56" i="28"/>
  <c r="HE56" i="28"/>
  <c r="HF56" i="28"/>
  <c r="HG56" i="28"/>
  <c r="HH56" i="28"/>
  <c r="HI56" i="28"/>
  <c r="HJ56" i="28"/>
  <c r="HK56" i="28"/>
  <c r="HL56" i="28"/>
  <c r="HM56" i="28"/>
  <c r="HN56" i="28"/>
  <c r="HO56" i="28"/>
  <c r="HP56" i="28"/>
  <c r="HQ56" i="28"/>
  <c r="HR56" i="28"/>
  <c r="HS56" i="28"/>
  <c r="HT56" i="28"/>
  <c r="HU56" i="28"/>
  <c r="HV56" i="28"/>
  <c r="HW56" i="28"/>
  <c r="HX56" i="28"/>
  <c r="HY56" i="28"/>
  <c r="HZ56" i="28"/>
  <c r="IA56" i="28"/>
  <c r="IB56" i="28"/>
  <c r="IC56" i="28"/>
  <c r="ID56" i="28"/>
  <c r="IE56" i="28"/>
  <c r="IF56" i="28"/>
  <c r="IG56" i="28"/>
  <c r="IH56" i="28"/>
  <c r="II56" i="28"/>
  <c r="IJ56" i="28"/>
  <c r="IK56" i="28"/>
  <c r="IL56" i="28"/>
  <c r="IM56" i="28"/>
  <c r="IN56" i="28"/>
  <c r="IO56" i="28"/>
  <c r="IP56" i="28"/>
  <c r="IQ56" i="28"/>
  <c r="IR56" i="28"/>
  <c r="IS56" i="28"/>
  <c r="IT56" i="28"/>
  <c r="IU56" i="28"/>
  <c r="IV56" i="28"/>
  <c r="A55" i="28"/>
  <c r="B55" i="28"/>
  <c r="C55" i="28"/>
  <c r="D55" i="28"/>
  <c r="E55" i="28"/>
  <c r="F55" i="28"/>
  <c r="G55" i="28"/>
  <c r="H55" i="28"/>
  <c r="I55" i="28"/>
  <c r="J55" i="28"/>
  <c r="K55" i="28"/>
  <c r="L55" i="28"/>
  <c r="M55" i="28"/>
  <c r="N55" i="28"/>
  <c r="O55" i="28"/>
  <c r="P55" i="28"/>
  <c r="Q55" i="28"/>
  <c r="R55" i="28"/>
  <c r="S55" i="28"/>
  <c r="T55" i="28"/>
  <c r="U55" i="28"/>
  <c r="V55" i="28"/>
  <c r="W55" i="28"/>
  <c r="X55" i="28"/>
  <c r="Y55" i="28"/>
  <c r="Z55" i="28"/>
  <c r="AA55" i="28"/>
  <c r="AB55" i="28"/>
  <c r="AC55" i="28"/>
  <c r="AD55" i="28"/>
  <c r="AE55" i="28"/>
  <c r="AF55" i="28"/>
  <c r="AG55" i="28"/>
  <c r="AH55" i="28"/>
  <c r="AI55" i="28"/>
  <c r="AJ55" i="28"/>
  <c r="AK55" i="28"/>
  <c r="AL55" i="28"/>
  <c r="AM55" i="28"/>
  <c r="AN55" i="28"/>
  <c r="AO55" i="28"/>
  <c r="AP55" i="28"/>
  <c r="AQ55" i="28"/>
  <c r="AR55" i="28"/>
  <c r="AS55" i="28"/>
  <c r="AT55" i="28"/>
  <c r="AU55" i="28"/>
  <c r="AV55" i="28"/>
  <c r="AW55" i="28"/>
  <c r="AX55" i="28"/>
  <c r="AY55" i="28"/>
  <c r="AZ55" i="28"/>
  <c r="BA55" i="28"/>
  <c r="BB55" i="28"/>
  <c r="BC55" i="28"/>
  <c r="BD55" i="28"/>
  <c r="BE55" i="28"/>
  <c r="BF55" i="28"/>
  <c r="BG55" i="28"/>
  <c r="BH55" i="28"/>
  <c r="BI55" i="28"/>
  <c r="BJ55" i="28"/>
  <c r="BK55" i="28"/>
  <c r="BL55" i="28"/>
  <c r="BM55" i="28"/>
  <c r="BN55" i="28"/>
  <c r="BO55" i="28"/>
  <c r="BP55" i="28"/>
  <c r="BQ55" i="28"/>
  <c r="BR55" i="28"/>
  <c r="BS55" i="28"/>
  <c r="BT55" i="28"/>
  <c r="BU55" i="28"/>
  <c r="BV55" i="28"/>
  <c r="BW55" i="28"/>
  <c r="BX55" i="28"/>
  <c r="BY55" i="28"/>
  <c r="BZ55" i="28"/>
  <c r="CA55" i="28"/>
  <c r="CB55" i="28"/>
  <c r="CC55" i="28"/>
  <c r="CD55" i="28"/>
  <c r="CE55" i="28"/>
  <c r="CF55" i="28"/>
  <c r="CG55" i="28"/>
  <c r="CH55" i="28"/>
  <c r="CI55" i="28"/>
  <c r="CJ55" i="28"/>
  <c r="CK55" i="28"/>
  <c r="CL55" i="28"/>
  <c r="CM55" i="28"/>
  <c r="CN55" i="28"/>
  <c r="CO55" i="28"/>
  <c r="CP55" i="28"/>
  <c r="CQ55" i="28"/>
  <c r="CR55" i="28"/>
  <c r="CS55" i="28"/>
  <c r="CT55" i="28"/>
  <c r="CU55" i="28"/>
  <c r="CV55" i="28"/>
  <c r="CW55" i="28"/>
  <c r="CX55" i="28"/>
  <c r="CY55" i="28"/>
  <c r="CZ55" i="28"/>
  <c r="DA55" i="28"/>
  <c r="DB55" i="28"/>
  <c r="DC55" i="28"/>
  <c r="DD55" i="28"/>
  <c r="DE55" i="28"/>
  <c r="DF55" i="28"/>
  <c r="DG55" i="28"/>
  <c r="DH55" i="28"/>
  <c r="DI55" i="28"/>
  <c r="DJ55" i="28"/>
  <c r="DK55" i="28"/>
  <c r="DL55" i="28"/>
  <c r="DM55" i="28"/>
  <c r="DN55" i="28"/>
  <c r="DO55" i="28"/>
  <c r="DP55" i="28"/>
  <c r="DQ55" i="28"/>
  <c r="DR55" i="28"/>
  <c r="DS55" i="28"/>
  <c r="DT55" i="28"/>
  <c r="DU55" i="28"/>
  <c r="DV55" i="28"/>
  <c r="DW55" i="28"/>
  <c r="DX55" i="28"/>
  <c r="DY55" i="28"/>
  <c r="DZ55" i="28"/>
  <c r="EA55" i="28"/>
  <c r="EB55" i="28"/>
  <c r="EC55" i="28"/>
  <c r="ED55" i="28"/>
  <c r="EE55" i="28"/>
  <c r="EF55" i="28"/>
  <c r="EG55" i="28"/>
  <c r="EH55" i="28"/>
  <c r="EI55" i="28"/>
  <c r="EJ55" i="28"/>
  <c r="EK55" i="28"/>
  <c r="EL55" i="28"/>
  <c r="EM55" i="28"/>
  <c r="EN55" i="28"/>
  <c r="EO55" i="28"/>
  <c r="EP55" i="28"/>
  <c r="EQ55" i="28"/>
  <c r="ER55" i="28"/>
  <c r="ES55" i="28"/>
  <c r="ET55" i="28"/>
  <c r="EU55" i="28"/>
  <c r="EV55" i="28"/>
  <c r="EW55" i="28"/>
  <c r="EX55" i="28"/>
  <c r="EY55" i="28"/>
  <c r="EZ55" i="28"/>
  <c r="FA55" i="28"/>
  <c r="FB55" i="28"/>
  <c r="FC55" i="28"/>
  <c r="FD55" i="28"/>
  <c r="FE55" i="28"/>
  <c r="FF55" i="28"/>
  <c r="FG55" i="28"/>
  <c r="FH55" i="28"/>
  <c r="FI55" i="28"/>
  <c r="FJ55" i="28"/>
  <c r="FK55" i="28"/>
  <c r="FL55" i="28"/>
  <c r="FM55" i="28"/>
  <c r="FN55" i="28"/>
  <c r="FO55" i="28"/>
  <c r="FP55" i="28"/>
  <c r="FQ55" i="28"/>
  <c r="FR55" i="28"/>
  <c r="FS55" i="28"/>
  <c r="FT55" i="28"/>
  <c r="FU55" i="28"/>
  <c r="FV55" i="28"/>
  <c r="FW55" i="28"/>
  <c r="FX55" i="28"/>
  <c r="FY55" i="28"/>
  <c r="FZ55" i="28"/>
  <c r="GA55" i="28"/>
  <c r="GB55" i="28"/>
  <c r="GC55" i="28"/>
  <c r="GD55" i="28"/>
  <c r="GE55" i="28"/>
  <c r="GF55" i="28"/>
  <c r="GG55" i="28"/>
  <c r="GH55" i="28"/>
  <c r="GI55" i="28"/>
  <c r="GJ55" i="28"/>
  <c r="GK55" i="28"/>
  <c r="GL55" i="28"/>
  <c r="GM55" i="28"/>
  <c r="GN55" i="28"/>
  <c r="GO55" i="28"/>
  <c r="GP55" i="28"/>
  <c r="GQ55" i="28"/>
  <c r="GR55" i="28"/>
  <c r="GS55" i="28"/>
  <c r="GT55" i="28"/>
  <c r="GU55" i="28"/>
  <c r="GV55" i="28"/>
  <c r="GW55" i="28"/>
  <c r="GX55" i="28"/>
  <c r="GY55" i="28"/>
  <c r="GZ55" i="28"/>
  <c r="HA55" i="28"/>
  <c r="HB55" i="28"/>
  <c r="HC55" i="28"/>
  <c r="HD55" i="28"/>
  <c r="HE55" i="28"/>
  <c r="HF55" i="28"/>
  <c r="HG55" i="28"/>
  <c r="HH55" i="28"/>
  <c r="HI55" i="28"/>
  <c r="HJ55" i="28"/>
  <c r="HK55" i="28"/>
  <c r="HL55" i="28"/>
  <c r="HM55" i="28"/>
  <c r="HN55" i="28"/>
  <c r="HO55" i="28"/>
  <c r="HP55" i="28"/>
  <c r="HQ55" i="28"/>
  <c r="HR55" i="28"/>
  <c r="HS55" i="28"/>
  <c r="HT55" i="28"/>
  <c r="HU55" i="28"/>
  <c r="HV55" i="28"/>
  <c r="HW55" i="28"/>
  <c r="HX55" i="28"/>
  <c r="HY55" i="28"/>
  <c r="HZ55" i="28"/>
  <c r="IA55" i="28"/>
  <c r="IB55" i="28"/>
  <c r="IC55" i="28"/>
  <c r="ID55" i="28"/>
  <c r="IE55" i="28"/>
  <c r="IF55" i="28"/>
  <c r="IG55" i="28"/>
  <c r="IH55" i="28"/>
  <c r="II55" i="28"/>
  <c r="IJ55" i="28"/>
  <c r="IK55" i="28"/>
  <c r="IL55" i="28"/>
  <c r="IM55" i="28"/>
  <c r="IN55" i="28"/>
  <c r="IO55" i="28"/>
  <c r="IP55" i="28"/>
  <c r="IQ55" i="28"/>
  <c r="IR55" i="28"/>
  <c r="IS55" i="28"/>
  <c r="IT55" i="28"/>
  <c r="IU55" i="28"/>
  <c r="IV55" i="28"/>
  <c r="A54" i="28"/>
  <c r="B54" i="28"/>
  <c r="C54" i="28"/>
  <c r="D54" i="28"/>
  <c r="E54" i="28"/>
  <c r="F54" i="28"/>
  <c r="G54" i="28"/>
  <c r="H54" i="28"/>
  <c r="I54" i="28"/>
  <c r="J54" i="28"/>
  <c r="K54" i="28"/>
  <c r="L54" i="28"/>
  <c r="M54" i="28"/>
  <c r="N54" i="28"/>
  <c r="O54" i="28"/>
  <c r="P54" i="28"/>
  <c r="Q54" i="28"/>
  <c r="R54" i="28"/>
  <c r="S54" i="28"/>
  <c r="T54" i="28"/>
  <c r="U54" i="28"/>
  <c r="V54" i="28"/>
  <c r="W54" i="28"/>
  <c r="X54" i="28"/>
  <c r="Y54" i="28"/>
  <c r="Z54" i="28"/>
  <c r="AA54" i="28"/>
  <c r="AB54" i="28"/>
  <c r="AC54" i="28"/>
  <c r="AD54" i="28"/>
  <c r="AE54" i="28"/>
  <c r="AF54" i="28"/>
  <c r="AG54" i="28"/>
  <c r="AH54" i="28"/>
  <c r="AI54" i="28"/>
  <c r="AJ54" i="28"/>
  <c r="AK54" i="28"/>
  <c r="AL54" i="28"/>
  <c r="AM54" i="28"/>
  <c r="AN54" i="28"/>
  <c r="AO54" i="28"/>
  <c r="AP54" i="28"/>
  <c r="AQ54" i="28"/>
  <c r="AR54" i="28"/>
  <c r="AS54" i="28"/>
  <c r="AT54" i="28"/>
  <c r="AU54" i="28"/>
  <c r="AV54" i="28"/>
  <c r="AW54" i="28"/>
  <c r="AX54" i="28"/>
  <c r="AY54" i="28"/>
  <c r="AZ54" i="28"/>
  <c r="BA54" i="28"/>
  <c r="BB54" i="28"/>
  <c r="BC54" i="28"/>
  <c r="BD54" i="28"/>
  <c r="BE54" i="28"/>
  <c r="BF54" i="28"/>
  <c r="BG54" i="28"/>
  <c r="BH54" i="28"/>
  <c r="BI54" i="28"/>
  <c r="BJ54" i="28"/>
  <c r="BK54" i="28"/>
  <c r="BL54" i="28"/>
  <c r="BM54" i="28"/>
  <c r="BN54" i="28"/>
  <c r="BO54" i="28"/>
  <c r="BP54" i="28"/>
  <c r="BQ54" i="28"/>
  <c r="BR54" i="28"/>
  <c r="BS54" i="28"/>
  <c r="BT54" i="28"/>
  <c r="BU54" i="28"/>
  <c r="BV54" i="28"/>
  <c r="BW54" i="28"/>
  <c r="BX54" i="28"/>
  <c r="BY54" i="28"/>
  <c r="BZ54" i="28"/>
  <c r="CA54" i="28"/>
  <c r="CB54" i="28"/>
  <c r="CC54" i="28"/>
  <c r="CD54" i="28"/>
  <c r="CE54" i="28"/>
  <c r="CF54" i="28"/>
  <c r="CG54" i="28"/>
  <c r="CH54" i="28"/>
  <c r="CI54" i="28"/>
  <c r="CJ54" i="28"/>
  <c r="CK54" i="28"/>
  <c r="CL54" i="28"/>
  <c r="CM54" i="28"/>
  <c r="CN54" i="28"/>
  <c r="CO54" i="28"/>
  <c r="CP54" i="28"/>
  <c r="CQ54" i="28"/>
  <c r="CR54" i="28"/>
  <c r="CS54" i="28"/>
  <c r="CT54" i="28"/>
  <c r="CU54" i="28"/>
  <c r="CV54" i="28"/>
  <c r="CW54" i="28"/>
  <c r="CX54" i="28"/>
  <c r="CY54" i="28"/>
  <c r="CZ54" i="28"/>
  <c r="DA54" i="28"/>
  <c r="DB54" i="28"/>
  <c r="DC54" i="28"/>
  <c r="DD54" i="28"/>
  <c r="DE54" i="28"/>
  <c r="DF54" i="28"/>
  <c r="DG54" i="28"/>
  <c r="DH54" i="28"/>
  <c r="DI54" i="28"/>
  <c r="DJ54" i="28"/>
  <c r="DK54" i="28"/>
  <c r="DL54" i="28"/>
  <c r="DM54" i="28"/>
  <c r="DN54" i="28"/>
  <c r="DO54" i="28"/>
  <c r="DP54" i="28"/>
  <c r="DQ54" i="28"/>
  <c r="DR54" i="28"/>
  <c r="DS54" i="28"/>
  <c r="DT54" i="28"/>
  <c r="DU54" i="28"/>
  <c r="DV54" i="28"/>
  <c r="DW54" i="28"/>
  <c r="DX54" i="28"/>
  <c r="DY54" i="28"/>
  <c r="DZ54" i="28"/>
  <c r="EA54" i="28"/>
  <c r="EB54" i="28"/>
  <c r="EC54" i="28"/>
  <c r="ED54" i="28"/>
  <c r="EE54" i="28"/>
  <c r="EF54" i="28"/>
  <c r="EG54" i="28"/>
  <c r="EH54" i="28"/>
  <c r="EI54" i="28"/>
  <c r="EJ54" i="28"/>
  <c r="EK54" i="28"/>
  <c r="EL54" i="28"/>
  <c r="EM54" i="28"/>
  <c r="EN54" i="28"/>
  <c r="EO54" i="28"/>
  <c r="EP54" i="28"/>
  <c r="EQ54" i="28"/>
  <c r="ER54" i="28"/>
  <c r="ES54" i="28"/>
  <c r="ET54" i="28"/>
  <c r="EU54" i="28"/>
  <c r="EV54" i="28"/>
  <c r="EW54" i="28"/>
  <c r="EX54" i="28"/>
  <c r="EY54" i="28"/>
  <c r="EZ54" i="28"/>
  <c r="FA54" i="28"/>
  <c r="FB54" i="28"/>
  <c r="FC54" i="28"/>
  <c r="FD54" i="28"/>
  <c r="FE54" i="28"/>
  <c r="FF54" i="28"/>
  <c r="FG54" i="28"/>
  <c r="FH54" i="28"/>
  <c r="FI54" i="28"/>
  <c r="FJ54" i="28"/>
  <c r="FK54" i="28"/>
  <c r="FL54" i="28"/>
  <c r="FM54" i="28"/>
  <c r="FN54" i="28"/>
  <c r="FO54" i="28"/>
  <c r="FP54" i="28"/>
  <c r="FQ54" i="28"/>
  <c r="FR54" i="28"/>
  <c r="FS54" i="28"/>
  <c r="FT54" i="28"/>
  <c r="FU54" i="28"/>
  <c r="FV54" i="28"/>
  <c r="FW54" i="28"/>
  <c r="FX54" i="28"/>
  <c r="FY54" i="28"/>
  <c r="FZ54" i="28"/>
  <c r="GA54" i="28"/>
  <c r="GB54" i="28"/>
  <c r="GC54" i="28"/>
  <c r="GD54" i="28"/>
  <c r="GE54" i="28"/>
  <c r="GF54" i="28"/>
  <c r="GG54" i="28"/>
  <c r="GH54" i="28"/>
  <c r="GI54" i="28"/>
  <c r="GJ54" i="28"/>
  <c r="GK54" i="28"/>
  <c r="GL54" i="28"/>
  <c r="GM54" i="28"/>
  <c r="GN54" i="28"/>
  <c r="GO54" i="28"/>
  <c r="GP54" i="28"/>
  <c r="GQ54" i="28"/>
  <c r="GR54" i="28"/>
  <c r="GS54" i="28"/>
  <c r="GT54" i="28"/>
  <c r="GU54" i="28"/>
  <c r="GV54" i="28"/>
  <c r="GW54" i="28"/>
  <c r="GX54" i="28"/>
  <c r="GY54" i="28"/>
  <c r="GZ54" i="28"/>
  <c r="HA54" i="28"/>
  <c r="HB54" i="28"/>
  <c r="HC54" i="28"/>
  <c r="HD54" i="28"/>
  <c r="HE54" i="28"/>
  <c r="HF54" i="28"/>
  <c r="HG54" i="28"/>
  <c r="HH54" i="28"/>
  <c r="HI54" i="28"/>
  <c r="HJ54" i="28"/>
  <c r="HK54" i="28"/>
  <c r="HL54" i="28"/>
  <c r="HM54" i="28"/>
  <c r="HN54" i="28"/>
  <c r="HO54" i="28"/>
  <c r="HP54" i="28"/>
  <c r="HQ54" i="28"/>
  <c r="HR54" i="28"/>
  <c r="HS54" i="28"/>
  <c r="HT54" i="28"/>
  <c r="HU54" i="28"/>
  <c r="HV54" i="28"/>
  <c r="HW54" i="28"/>
  <c r="HX54" i="28"/>
  <c r="HY54" i="28"/>
  <c r="HZ54" i="28"/>
  <c r="IA54" i="28"/>
  <c r="IB54" i="28"/>
  <c r="IC54" i="28"/>
  <c r="ID54" i="28"/>
  <c r="IE54" i="28"/>
  <c r="IF54" i="28"/>
  <c r="IG54" i="28"/>
  <c r="IH54" i="28"/>
  <c r="II54" i="28"/>
  <c r="IJ54" i="28"/>
  <c r="IK54" i="28"/>
  <c r="IL54" i="28"/>
  <c r="IM54" i="28"/>
  <c r="IN54" i="28"/>
  <c r="IO54" i="28"/>
  <c r="IP54" i="28"/>
  <c r="IQ54" i="28"/>
  <c r="IR54" i="28"/>
  <c r="IS54" i="28"/>
  <c r="IT54" i="28"/>
  <c r="IU54" i="28"/>
  <c r="IV54" i="28"/>
  <c r="A53" i="28"/>
  <c r="B53" i="28"/>
  <c r="C53" i="28"/>
  <c r="D53" i="28"/>
  <c r="E53" i="28"/>
  <c r="F53" i="28"/>
  <c r="G53" i="28"/>
  <c r="H53" i="28"/>
  <c r="I53" i="28"/>
  <c r="J53" i="28"/>
  <c r="K53" i="28"/>
  <c r="L53" i="28"/>
  <c r="M53" i="28"/>
  <c r="N53" i="28"/>
  <c r="O53" i="28"/>
  <c r="P53" i="28"/>
  <c r="Q53" i="28"/>
  <c r="R53" i="28"/>
  <c r="S53" i="28"/>
  <c r="T53" i="28"/>
  <c r="U53" i="28"/>
  <c r="V53" i="28"/>
  <c r="W53" i="28"/>
  <c r="X53" i="28"/>
  <c r="Y53" i="28"/>
  <c r="Z53" i="28"/>
  <c r="AA53" i="28"/>
  <c r="AB53" i="28"/>
  <c r="AC53" i="28"/>
  <c r="AD53" i="28"/>
  <c r="AE53" i="28"/>
  <c r="AF53" i="28"/>
  <c r="AG53" i="28"/>
  <c r="AH53" i="28"/>
  <c r="AI53" i="28"/>
  <c r="AJ53" i="28"/>
  <c r="AK53" i="28"/>
  <c r="AL53" i="28"/>
  <c r="AM53" i="28"/>
  <c r="AN53" i="28"/>
  <c r="AO53" i="28"/>
  <c r="AP53" i="28"/>
  <c r="AQ53" i="28"/>
  <c r="AR53" i="28"/>
  <c r="AS53" i="28"/>
  <c r="AT53" i="28"/>
  <c r="AU53" i="28"/>
  <c r="AV53" i="28"/>
  <c r="AW53" i="28"/>
  <c r="AX53" i="28"/>
  <c r="AY53" i="28"/>
  <c r="AZ53" i="28"/>
  <c r="BA53" i="28"/>
  <c r="BB53" i="28"/>
  <c r="BC53" i="28"/>
  <c r="BD53" i="28"/>
  <c r="BE53" i="28"/>
  <c r="BF53" i="28"/>
  <c r="BG53" i="28"/>
  <c r="BH53" i="28"/>
  <c r="BI53" i="28"/>
  <c r="BJ53" i="28"/>
  <c r="BK53" i="28"/>
  <c r="BL53" i="28"/>
  <c r="BM53" i="28"/>
  <c r="BN53" i="28"/>
  <c r="BO53" i="28"/>
  <c r="BP53" i="28"/>
  <c r="BQ53" i="28"/>
  <c r="BR53" i="28"/>
  <c r="BS53" i="28"/>
  <c r="BT53" i="28"/>
  <c r="BU53" i="28"/>
  <c r="BV53" i="28"/>
  <c r="BW53" i="28"/>
  <c r="BX53" i="28"/>
  <c r="BY53" i="28"/>
  <c r="BZ53" i="28"/>
  <c r="CA53" i="28"/>
  <c r="CB53" i="28"/>
  <c r="CC53" i="28"/>
  <c r="CD53" i="28"/>
  <c r="CE53" i="28"/>
  <c r="CF53" i="28"/>
  <c r="CG53" i="28"/>
  <c r="CH53" i="28"/>
  <c r="CI53" i="28"/>
  <c r="CJ53" i="28"/>
  <c r="CK53" i="28"/>
  <c r="CL53" i="28"/>
  <c r="CM53" i="28"/>
  <c r="CN53" i="28"/>
  <c r="CO53" i="28"/>
  <c r="CP53" i="28"/>
  <c r="CQ53" i="28"/>
  <c r="CR53" i="28"/>
  <c r="CS53" i="28"/>
  <c r="CT53" i="28"/>
  <c r="CU53" i="28"/>
  <c r="CV53" i="28"/>
  <c r="CW53" i="28"/>
  <c r="CX53" i="28"/>
  <c r="CY53" i="28"/>
  <c r="CZ53" i="28"/>
  <c r="DA53" i="28"/>
  <c r="DB53" i="28"/>
  <c r="DC53" i="28"/>
  <c r="DD53" i="28"/>
  <c r="DE53" i="28"/>
  <c r="DF53" i="28"/>
  <c r="DG53" i="28"/>
  <c r="DH53" i="28"/>
  <c r="DI53" i="28"/>
  <c r="DJ53" i="28"/>
  <c r="DK53" i="28"/>
  <c r="DL53" i="28"/>
  <c r="DM53" i="28"/>
  <c r="DN53" i="28"/>
  <c r="DO53" i="28"/>
  <c r="DP53" i="28"/>
  <c r="DQ53" i="28"/>
  <c r="DR53" i="28"/>
  <c r="DS53" i="28"/>
  <c r="DT53" i="28"/>
  <c r="DU53" i="28"/>
  <c r="DV53" i="28"/>
  <c r="DW53" i="28"/>
  <c r="DX53" i="28"/>
  <c r="DY53" i="28"/>
  <c r="DZ53" i="28"/>
  <c r="EA53" i="28"/>
  <c r="EB53" i="28"/>
  <c r="EC53" i="28"/>
  <c r="ED53" i="28"/>
  <c r="EE53" i="28"/>
  <c r="EF53" i="28"/>
  <c r="EG53" i="28"/>
  <c r="EH53" i="28"/>
  <c r="EI53" i="28"/>
  <c r="EJ53" i="28"/>
  <c r="EK53" i="28"/>
  <c r="EL53" i="28"/>
  <c r="EM53" i="28"/>
  <c r="EN53" i="28"/>
  <c r="EO53" i="28"/>
  <c r="EP53" i="28"/>
  <c r="EQ53" i="28"/>
  <c r="ER53" i="28"/>
  <c r="ES53" i="28"/>
  <c r="ET53" i="28"/>
  <c r="EU53" i="28"/>
  <c r="EV53" i="28"/>
  <c r="EW53" i="28"/>
  <c r="EX53" i="28"/>
  <c r="EY53" i="28"/>
  <c r="EZ53" i="28"/>
  <c r="FA53" i="28"/>
  <c r="FB53" i="28"/>
  <c r="FC53" i="28"/>
  <c r="FD53" i="28"/>
  <c r="FE53" i="28"/>
  <c r="FF53" i="28"/>
  <c r="FG53" i="28"/>
  <c r="FH53" i="28"/>
  <c r="FI53" i="28"/>
  <c r="FJ53" i="28"/>
  <c r="FK53" i="28"/>
  <c r="FL53" i="28"/>
  <c r="FM53" i="28"/>
  <c r="FN53" i="28"/>
  <c r="FO53" i="28"/>
  <c r="FP53" i="28"/>
  <c r="FQ53" i="28"/>
  <c r="FR53" i="28"/>
  <c r="FS53" i="28"/>
  <c r="FT53" i="28"/>
  <c r="FU53" i="28"/>
  <c r="FV53" i="28"/>
  <c r="FW53" i="28"/>
  <c r="FX53" i="28"/>
  <c r="FY53" i="28"/>
  <c r="FZ53" i="28"/>
  <c r="GA53" i="28"/>
  <c r="GB53" i="28"/>
  <c r="GC53" i="28"/>
  <c r="GD53" i="28"/>
  <c r="GE53" i="28"/>
  <c r="GF53" i="28"/>
  <c r="GG53" i="28"/>
  <c r="GH53" i="28"/>
  <c r="GI53" i="28"/>
  <c r="GJ53" i="28"/>
  <c r="GK53" i="28"/>
  <c r="GL53" i="28"/>
  <c r="GM53" i="28"/>
  <c r="GN53" i="28"/>
  <c r="GO53" i="28"/>
  <c r="GP53" i="28"/>
  <c r="GQ53" i="28"/>
  <c r="GR53" i="28"/>
  <c r="GS53" i="28"/>
  <c r="GT53" i="28"/>
  <c r="GU53" i="28"/>
  <c r="GV53" i="28"/>
  <c r="GW53" i="28"/>
  <c r="GX53" i="28"/>
  <c r="GY53" i="28"/>
  <c r="GZ53" i="28"/>
  <c r="HA53" i="28"/>
  <c r="HB53" i="28"/>
  <c r="HC53" i="28"/>
  <c r="HD53" i="28"/>
  <c r="HE53" i="28"/>
  <c r="HF53" i="28"/>
  <c r="HG53" i="28"/>
  <c r="HH53" i="28"/>
  <c r="HI53" i="28"/>
  <c r="HJ53" i="28"/>
  <c r="HK53" i="28"/>
  <c r="HL53" i="28"/>
  <c r="HM53" i="28"/>
  <c r="HN53" i="28"/>
  <c r="HO53" i="28"/>
  <c r="HP53" i="28"/>
  <c r="HQ53" i="28"/>
  <c r="HR53" i="28"/>
  <c r="HS53" i="28"/>
  <c r="HT53" i="28"/>
  <c r="HU53" i="28"/>
  <c r="HV53" i="28"/>
  <c r="HW53" i="28"/>
  <c r="HX53" i="28"/>
  <c r="HY53" i="28"/>
  <c r="HZ53" i="28"/>
  <c r="IA53" i="28"/>
  <c r="IB53" i="28"/>
  <c r="IC53" i="28"/>
  <c r="ID53" i="28"/>
  <c r="IE53" i="28"/>
  <c r="IF53" i="28"/>
  <c r="IG53" i="28"/>
  <c r="IH53" i="28"/>
  <c r="II53" i="28"/>
  <c r="IJ53" i="28"/>
  <c r="IK53" i="28"/>
  <c r="IL53" i="28"/>
  <c r="IM53" i="28"/>
  <c r="IN53" i="28"/>
  <c r="IO53" i="28"/>
  <c r="IP53" i="28"/>
  <c r="IQ53" i="28"/>
  <c r="IR53" i="28"/>
  <c r="IS53" i="28"/>
  <c r="IT53" i="28"/>
  <c r="IU53" i="28"/>
  <c r="IV53" i="28"/>
  <c r="A52" i="28"/>
  <c r="B52" i="28"/>
  <c r="C52" i="28"/>
  <c r="D52" i="28"/>
  <c r="E52" i="28"/>
  <c r="F52" i="28"/>
  <c r="G52" i="28"/>
  <c r="H52" i="28"/>
  <c r="I52" i="28"/>
  <c r="J52" i="28"/>
  <c r="K52" i="28"/>
  <c r="L52" i="28"/>
  <c r="M52" i="28"/>
  <c r="N52" i="28"/>
  <c r="O52" i="28"/>
  <c r="P52" i="28"/>
  <c r="Q52" i="28"/>
  <c r="R52" i="28"/>
  <c r="S52" i="28"/>
  <c r="T52" i="28"/>
  <c r="U52" i="28"/>
  <c r="V52" i="28"/>
  <c r="W52" i="28"/>
  <c r="X52" i="28"/>
  <c r="Y52" i="28"/>
  <c r="Z52" i="28"/>
  <c r="AA52" i="28"/>
  <c r="AB52" i="28"/>
  <c r="AC52" i="28"/>
  <c r="AD52" i="28"/>
  <c r="AE52" i="28"/>
  <c r="AF52" i="28"/>
  <c r="AG52" i="28"/>
  <c r="AH52" i="28"/>
  <c r="AI52" i="28"/>
  <c r="AJ52" i="28"/>
  <c r="AK52" i="28"/>
  <c r="AL52" i="28"/>
  <c r="AM52" i="28"/>
  <c r="AN52" i="28"/>
  <c r="AO52" i="28"/>
  <c r="AP52" i="28"/>
  <c r="AQ52" i="28"/>
  <c r="AR52" i="28"/>
  <c r="AS52" i="28"/>
  <c r="AT52" i="28"/>
  <c r="AU52" i="28"/>
  <c r="AV52" i="28"/>
  <c r="AW52" i="28"/>
  <c r="AX52" i="28"/>
  <c r="AY52" i="28"/>
  <c r="AZ52" i="28"/>
  <c r="BA52" i="28"/>
  <c r="BB52" i="28"/>
  <c r="BC52" i="28"/>
  <c r="BD52" i="28"/>
  <c r="BE52" i="28"/>
  <c r="BF52" i="28"/>
  <c r="BG52" i="28"/>
  <c r="BH52" i="28"/>
  <c r="BI52" i="28"/>
  <c r="BJ52" i="28"/>
  <c r="BK52" i="28"/>
  <c r="BL52" i="28"/>
  <c r="BM52" i="28"/>
  <c r="BN52" i="28"/>
  <c r="BO52" i="28"/>
  <c r="BP52" i="28"/>
  <c r="BQ52" i="28"/>
  <c r="BR52" i="28"/>
  <c r="BS52" i="28"/>
  <c r="BT52" i="28"/>
  <c r="BU52" i="28"/>
  <c r="BV52" i="28"/>
  <c r="BW52" i="28"/>
  <c r="BX52" i="28"/>
  <c r="BY52" i="28"/>
  <c r="BZ52" i="28"/>
  <c r="CA52" i="28"/>
  <c r="CB52" i="28"/>
  <c r="CC52" i="28"/>
  <c r="CD52" i="28"/>
  <c r="CE52" i="28"/>
  <c r="CF52" i="28"/>
  <c r="CG52" i="28"/>
  <c r="CH52" i="28"/>
  <c r="CI52" i="28"/>
  <c r="CJ52" i="28"/>
  <c r="CK52" i="28"/>
  <c r="CL52" i="28"/>
  <c r="CM52" i="28"/>
  <c r="CN52" i="28"/>
  <c r="CO52" i="28"/>
  <c r="CP52" i="28"/>
  <c r="CQ52" i="28"/>
  <c r="CR52" i="28"/>
  <c r="CS52" i="28"/>
  <c r="CT52" i="28"/>
  <c r="CU52" i="28"/>
  <c r="CV52" i="28"/>
  <c r="CW52" i="28"/>
  <c r="CX52" i="28"/>
  <c r="CY52" i="28"/>
  <c r="CZ52" i="28"/>
  <c r="DA52" i="28"/>
  <c r="DB52" i="28"/>
  <c r="DC52" i="28"/>
  <c r="DD52" i="28"/>
  <c r="DE52" i="28"/>
  <c r="DF52" i="28"/>
  <c r="DG52" i="28"/>
  <c r="DH52" i="28"/>
  <c r="DI52" i="28"/>
  <c r="DJ52" i="28"/>
  <c r="DK52" i="28"/>
  <c r="DL52" i="28"/>
  <c r="DM52" i="28"/>
  <c r="DN52" i="28"/>
  <c r="DO52" i="28"/>
  <c r="DP52" i="28"/>
  <c r="DQ52" i="28"/>
  <c r="DR52" i="28"/>
  <c r="DS52" i="28"/>
  <c r="DT52" i="28"/>
  <c r="DU52" i="28"/>
  <c r="DV52" i="28"/>
  <c r="DW52" i="28"/>
  <c r="DX52" i="28"/>
  <c r="DY52" i="28"/>
  <c r="DZ52" i="28"/>
  <c r="EA52" i="28"/>
  <c r="EB52" i="28"/>
  <c r="EC52" i="28"/>
  <c r="ED52" i="28"/>
  <c r="EE52" i="28"/>
  <c r="EF52" i="28"/>
  <c r="EG52" i="28"/>
  <c r="EH52" i="28"/>
  <c r="EI52" i="28"/>
  <c r="EJ52" i="28"/>
  <c r="EK52" i="28"/>
  <c r="EL52" i="28"/>
  <c r="EM52" i="28"/>
  <c r="EN52" i="28"/>
  <c r="EO52" i="28"/>
  <c r="EP52" i="28"/>
  <c r="EQ52" i="28"/>
  <c r="ER52" i="28"/>
  <c r="ES52" i="28"/>
  <c r="ET52" i="28"/>
  <c r="EU52" i="28"/>
  <c r="EV52" i="28"/>
  <c r="EW52" i="28"/>
  <c r="EX52" i="28"/>
  <c r="EY52" i="28"/>
  <c r="EZ52" i="28"/>
  <c r="FA52" i="28"/>
  <c r="FB52" i="28"/>
  <c r="FC52" i="28"/>
  <c r="FD52" i="28"/>
  <c r="FE52" i="28"/>
  <c r="FF52" i="28"/>
  <c r="FG52" i="28"/>
  <c r="FH52" i="28"/>
  <c r="FI52" i="28"/>
  <c r="FJ52" i="28"/>
  <c r="FK52" i="28"/>
  <c r="FL52" i="28"/>
  <c r="FM52" i="28"/>
  <c r="FN52" i="28"/>
  <c r="FO52" i="28"/>
  <c r="FP52" i="28"/>
  <c r="FQ52" i="28"/>
  <c r="FR52" i="28"/>
  <c r="FS52" i="28"/>
  <c r="FT52" i="28"/>
  <c r="FU52" i="28"/>
  <c r="FV52" i="28"/>
  <c r="FW52" i="28"/>
  <c r="FX52" i="28"/>
  <c r="FY52" i="28"/>
  <c r="FZ52" i="28"/>
  <c r="GA52" i="28"/>
  <c r="GB52" i="28"/>
  <c r="GC52" i="28"/>
  <c r="GD52" i="28"/>
  <c r="GE52" i="28"/>
  <c r="GF52" i="28"/>
  <c r="GG52" i="28"/>
  <c r="GH52" i="28"/>
  <c r="GI52" i="28"/>
  <c r="GJ52" i="28"/>
  <c r="GK52" i="28"/>
  <c r="GL52" i="28"/>
  <c r="GM52" i="28"/>
  <c r="GN52" i="28"/>
  <c r="GO52" i="28"/>
  <c r="GP52" i="28"/>
  <c r="GQ52" i="28"/>
  <c r="GR52" i="28"/>
  <c r="GS52" i="28"/>
  <c r="GT52" i="28"/>
  <c r="GU52" i="28"/>
  <c r="GV52" i="28"/>
  <c r="GW52" i="28"/>
  <c r="GX52" i="28"/>
  <c r="GY52" i="28"/>
  <c r="GZ52" i="28"/>
  <c r="HA52" i="28"/>
  <c r="HB52" i="28"/>
  <c r="HC52" i="28"/>
  <c r="HD52" i="28"/>
  <c r="HE52" i="28"/>
  <c r="HF52" i="28"/>
  <c r="HG52" i="28"/>
  <c r="HH52" i="28"/>
  <c r="HI52" i="28"/>
  <c r="HJ52" i="28"/>
  <c r="HK52" i="28"/>
  <c r="HL52" i="28"/>
  <c r="HM52" i="28"/>
  <c r="HN52" i="28"/>
  <c r="HO52" i="28"/>
  <c r="HP52" i="28"/>
  <c r="HQ52" i="28"/>
  <c r="HR52" i="28"/>
  <c r="HS52" i="28"/>
  <c r="HT52" i="28"/>
  <c r="HU52" i="28"/>
  <c r="HV52" i="28"/>
  <c r="HW52" i="28"/>
  <c r="HX52" i="28"/>
  <c r="HY52" i="28"/>
  <c r="HZ52" i="28"/>
  <c r="IA52" i="28"/>
  <c r="IB52" i="28"/>
  <c r="IC52" i="28"/>
  <c r="ID52" i="28"/>
  <c r="IE52" i="28"/>
  <c r="IF52" i="28"/>
  <c r="IG52" i="28"/>
  <c r="IH52" i="28"/>
  <c r="II52" i="28"/>
  <c r="IJ52" i="28"/>
  <c r="IK52" i="28"/>
  <c r="IL52" i="28"/>
  <c r="IM52" i="28"/>
  <c r="IN52" i="28"/>
  <c r="IO52" i="28"/>
  <c r="IP52" i="28"/>
  <c r="IQ52" i="28"/>
  <c r="IR52" i="28"/>
  <c r="IS52" i="28"/>
  <c r="IT52" i="28"/>
  <c r="IU52" i="28"/>
  <c r="IV52" i="28"/>
  <c r="A51" i="28"/>
  <c r="B51" i="28"/>
  <c r="C51" i="28"/>
  <c r="D51" i="28"/>
  <c r="E51" i="28"/>
  <c r="F51" i="28"/>
  <c r="G51" i="28"/>
  <c r="H51" i="28"/>
  <c r="I51" i="28"/>
  <c r="J51" i="28"/>
  <c r="K51" i="28"/>
  <c r="L51" i="28"/>
  <c r="M51" i="28"/>
  <c r="N51" i="28"/>
  <c r="O51" i="28"/>
  <c r="P51" i="28"/>
  <c r="Q51" i="28"/>
  <c r="R51" i="28"/>
  <c r="S51" i="28"/>
  <c r="T51" i="28"/>
  <c r="U51" i="28"/>
  <c r="V51" i="28"/>
  <c r="W51" i="28"/>
  <c r="X51" i="28"/>
  <c r="Y51" i="28"/>
  <c r="Z51" i="28"/>
  <c r="AA51" i="28"/>
  <c r="AB51" i="28"/>
  <c r="AC51" i="28"/>
  <c r="AD51" i="28"/>
  <c r="AE51" i="28"/>
  <c r="AF51" i="28"/>
  <c r="AG51" i="28"/>
  <c r="AH51" i="28"/>
  <c r="AI51" i="28"/>
  <c r="AJ51" i="28"/>
  <c r="AK51" i="28"/>
  <c r="AL51" i="28"/>
  <c r="AM51" i="28"/>
  <c r="AN51" i="28"/>
  <c r="AO51" i="28"/>
  <c r="AP51" i="28"/>
  <c r="AQ51" i="28"/>
  <c r="AR51" i="28"/>
  <c r="AS51" i="28"/>
  <c r="AT51" i="28"/>
  <c r="AU51" i="28"/>
  <c r="AV51" i="28"/>
  <c r="AW51" i="28"/>
  <c r="AX51" i="28"/>
  <c r="AY51" i="28"/>
  <c r="AZ51" i="28"/>
  <c r="BA51" i="28"/>
  <c r="BB51" i="28"/>
  <c r="BC51" i="28"/>
  <c r="BD51" i="28"/>
  <c r="BE51" i="28"/>
  <c r="BF51" i="28"/>
  <c r="BG51" i="28"/>
  <c r="BH51" i="28"/>
  <c r="BI51" i="28"/>
  <c r="BJ51" i="28"/>
  <c r="BK51" i="28"/>
  <c r="BL51" i="28"/>
  <c r="BM51" i="28"/>
  <c r="BN51" i="28"/>
  <c r="BO51" i="28"/>
  <c r="BP51" i="28"/>
  <c r="BQ51" i="28"/>
  <c r="BR51" i="28"/>
  <c r="BS51" i="28"/>
  <c r="BT51" i="28"/>
  <c r="BU51" i="28"/>
  <c r="BV51" i="28"/>
  <c r="BW51" i="28"/>
  <c r="BX51" i="28"/>
  <c r="BY51" i="28"/>
  <c r="BZ51" i="28"/>
  <c r="CA51" i="28"/>
  <c r="CB51" i="28"/>
  <c r="CC51" i="28"/>
  <c r="CD51" i="28"/>
  <c r="CE51" i="28"/>
  <c r="CF51" i="28"/>
  <c r="CG51" i="28"/>
  <c r="CH51" i="28"/>
  <c r="CI51" i="28"/>
  <c r="CJ51" i="28"/>
  <c r="CK51" i="28"/>
  <c r="CL51" i="28"/>
  <c r="CM51" i="28"/>
  <c r="CN51" i="28"/>
  <c r="CO51" i="28"/>
  <c r="CP51" i="28"/>
  <c r="CQ51" i="28"/>
  <c r="CR51" i="28"/>
  <c r="CS51" i="28"/>
  <c r="CT51" i="28"/>
  <c r="CU51" i="28"/>
  <c r="CV51" i="28"/>
  <c r="CW51" i="28"/>
  <c r="CX51" i="28"/>
  <c r="CY51" i="28"/>
  <c r="CZ51" i="28"/>
  <c r="DA51" i="28"/>
  <c r="DB51" i="28"/>
  <c r="DC51" i="28"/>
  <c r="DD51" i="28"/>
  <c r="DE51" i="28"/>
  <c r="DF51" i="28"/>
  <c r="DG51" i="28"/>
  <c r="DH51" i="28"/>
  <c r="DI51" i="28"/>
  <c r="DJ51" i="28"/>
  <c r="DK51" i="28"/>
  <c r="DL51" i="28"/>
  <c r="DM51" i="28"/>
  <c r="DN51" i="28"/>
  <c r="DO51" i="28"/>
  <c r="DP51" i="28"/>
  <c r="DQ51" i="28"/>
  <c r="DR51" i="28"/>
  <c r="DS51" i="28"/>
  <c r="DT51" i="28"/>
  <c r="DU51" i="28"/>
  <c r="DV51" i="28"/>
  <c r="DW51" i="28"/>
  <c r="DX51" i="28"/>
  <c r="DY51" i="28"/>
  <c r="DZ51" i="28"/>
  <c r="EA51" i="28"/>
  <c r="EB51" i="28"/>
  <c r="EC51" i="28"/>
  <c r="ED51" i="28"/>
  <c r="EE51" i="28"/>
  <c r="EF51" i="28"/>
  <c r="EG51" i="28"/>
  <c r="EH51" i="28"/>
  <c r="EI51" i="28"/>
  <c r="EJ51" i="28"/>
  <c r="EK51" i="28"/>
  <c r="EL51" i="28"/>
  <c r="EM51" i="28"/>
  <c r="EN51" i="28"/>
  <c r="EO51" i="28"/>
  <c r="EP51" i="28"/>
  <c r="EQ51" i="28"/>
  <c r="ER51" i="28"/>
  <c r="ES51" i="28"/>
  <c r="ET51" i="28"/>
  <c r="EU51" i="28"/>
  <c r="EV51" i="28"/>
  <c r="EW51" i="28"/>
  <c r="EX51" i="28"/>
  <c r="EY51" i="28"/>
  <c r="EZ51" i="28"/>
  <c r="FA51" i="28"/>
  <c r="FB51" i="28"/>
  <c r="FC51" i="28"/>
  <c r="FD51" i="28"/>
  <c r="FE51" i="28"/>
  <c r="FF51" i="28"/>
  <c r="FG51" i="28"/>
  <c r="FH51" i="28"/>
  <c r="FI51" i="28"/>
  <c r="FJ51" i="28"/>
  <c r="FK51" i="28"/>
  <c r="FL51" i="28"/>
  <c r="FM51" i="28"/>
  <c r="FN51" i="28"/>
  <c r="FO51" i="28"/>
  <c r="FP51" i="28"/>
  <c r="FQ51" i="28"/>
  <c r="FR51" i="28"/>
  <c r="FS51" i="28"/>
  <c r="FT51" i="28"/>
  <c r="FU51" i="28"/>
  <c r="FV51" i="28"/>
  <c r="FW51" i="28"/>
  <c r="FX51" i="28"/>
  <c r="FY51" i="28"/>
  <c r="FZ51" i="28"/>
  <c r="GA51" i="28"/>
  <c r="GB51" i="28"/>
  <c r="GC51" i="28"/>
  <c r="GD51" i="28"/>
  <c r="GE51" i="28"/>
  <c r="GF51" i="28"/>
  <c r="GG51" i="28"/>
  <c r="GH51" i="28"/>
  <c r="GI51" i="28"/>
  <c r="GJ51" i="28"/>
  <c r="GK51" i="28"/>
  <c r="GL51" i="28"/>
  <c r="GM51" i="28"/>
  <c r="GN51" i="28"/>
  <c r="GO51" i="28"/>
  <c r="GP51" i="28"/>
  <c r="GQ51" i="28"/>
  <c r="GR51" i="28"/>
  <c r="GS51" i="28"/>
  <c r="GT51" i="28"/>
  <c r="GU51" i="28"/>
  <c r="GV51" i="28"/>
  <c r="GW51" i="28"/>
  <c r="GX51" i="28"/>
  <c r="GY51" i="28"/>
  <c r="GZ51" i="28"/>
  <c r="HA51" i="28"/>
  <c r="HB51" i="28"/>
  <c r="HC51" i="28"/>
  <c r="HD51" i="28"/>
  <c r="HE51" i="28"/>
  <c r="HF51" i="28"/>
  <c r="HG51" i="28"/>
  <c r="HH51" i="28"/>
  <c r="HI51" i="28"/>
  <c r="HJ51" i="28"/>
  <c r="HK51" i="28"/>
  <c r="HL51" i="28"/>
  <c r="HM51" i="28"/>
  <c r="HN51" i="28"/>
  <c r="HO51" i="28"/>
  <c r="HP51" i="28"/>
  <c r="HQ51" i="28"/>
  <c r="HR51" i="28"/>
  <c r="HS51" i="28"/>
  <c r="HT51" i="28"/>
  <c r="HU51" i="28"/>
  <c r="HV51" i="28"/>
  <c r="HW51" i="28"/>
  <c r="HX51" i="28"/>
  <c r="HY51" i="28"/>
  <c r="HZ51" i="28"/>
  <c r="IA51" i="28"/>
  <c r="IB51" i="28"/>
  <c r="IC51" i="28"/>
  <c r="ID51" i="28"/>
  <c r="IE51" i="28"/>
  <c r="IF51" i="28"/>
  <c r="IG51" i="28"/>
  <c r="IH51" i="28"/>
  <c r="II51" i="28"/>
  <c r="IJ51" i="28"/>
  <c r="IK51" i="28"/>
  <c r="IL51" i="28"/>
  <c r="IM51" i="28"/>
  <c r="IN51" i="28"/>
  <c r="IO51" i="28"/>
  <c r="IP51" i="28"/>
  <c r="IQ51" i="28"/>
  <c r="IR51" i="28"/>
  <c r="IS51" i="28"/>
  <c r="IT51" i="28"/>
  <c r="IU51" i="28"/>
  <c r="IV51" i="28"/>
  <c r="A50" i="28"/>
  <c r="B50" i="28"/>
  <c r="C50" i="28"/>
  <c r="D50" i="28"/>
  <c r="E50" i="28"/>
  <c r="F50" i="28"/>
  <c r="G50" i="28"/>
  <c r="H50" i="28"/>
  <c r="I50" i="28"/>
  <c r="J50" i="28"/>
  <c r="K50" i="28"/>
  <c r="L50" i="28"/>
  <c r="M50" i="28"/>
  <c r="N50" i="28"/>
  <c r="O50" i="28"/>
  <c r="P50" i="28"/>
  <c r="Q50" i="28"/>
  <c r="R50" i="28"/>
  <c r="S50" i="28"/>
  <c r="T50" i="28"/>
  <c r="U50" i="28"/>
  <c r="V50" i="28"/>
  <c r="W50" i="28"/>
  <c r="X50" i="28"/>
  <c r="Y50" i="28"/>
  <c r="Z50" i="28"/>
  <c r="AA50" i="28"/>
  <c r="AB50" i="28"/>
  <c r="AC50" i="28"/>
  <c r="AD50" i="28"/>
  <c r="AE50" i="28"/>
  <c r="AF50" i="28"/>
  <c r="AG50" i="28"/>
  <c r="AH50" i="28"/>
  <c r="AI50" i="28"/>
  <c r="AJ50" i="28"/>
  <c r="AK50" i="28"/>
  <c r="AL50" i="28"/>
  <c r="AM50" i="28"/>
  <c r="AN50" i="28"/>
  <c r="AO50" i="28"/>
  <c r="AP50" i="28"/>
  <c r="AQ50" i="28"/>
  <c r="AR50" i="28"/>
  <c r="AS50" i="28"/>
  <c r="AT50" i="28"/>
  <c r="AU50" i="28"/>
  <c r="AV50" i="28"/>
  <c r="AW50" i="28"/>
  <c r="AX50" i="28"/>
  <c r="AY50" i="28"/>
  <c r="AZ50" i="28"/>
  <c r="BA50" i="28"/>
  <c r="BB50" i="28"/>
  <c r="BC50" i="28"/>
  <c r="BD50" i="28"/>
  <c r="BE50" i="28"/>
  <c r="BF50" i="28"/>
  <c r="BG50" i="28"/>
  <c r="BH50" i="28"/>
  <c r="BI50" i="28"/>
  <c r="BJ50" i="28"/>
  <c r="BK50" i="28"/>
  <c r="BL50" i="28"/>
  <c r="BM50" i="28"/>
  <c r="BN50" i="28"/>
  <c r="BO50" i="28"/>
  <c r="BP50" i="28"/>
  <c r="BQ50" i="28"/>
  <c r="BR50" i="28"/>
  <c r="BS50" i="28"/>
  <c r="BT50" i="28"/>
  <c r="BU50" i="28"/>
  <c r="BV50" i="28"/>
  <c r="BW50" i="28"/>
  <c r="BX50" i="28"/>
  <c r="BY50" i="28"/>
  <c r="BZ50" i="28"/>
  <c r="CA50" i="28"/>
  <c r="CB50" i="28"/>
  <c r="CC50" i="28"/>
  <c r="CD50" i="28"/>
  <c r="CE50" i="28"/>
  <c r="CF50" i="28"/>
  <c r="CG50" i="28"/>
  <c r="CH50" i="28"/>
  <c r="CI50" i="28"/>
  <c r="CJ50" i="28"/>
  <c r="CK50" i="28"/>
  <c r="CL50" i="28"/>
  <c r="CM50" i="28"/>
  <c r="CN50" i="28"/>
  <c r="CO50" i="28"/>
  <c r="CP50" i="28"/>
  <c r="CQ50" i="28"/>
  <c r="CR50" i="28"/>
  <c r="CS50" i="28"/>
  <c r="CT50" i="28"/>
  <c r="CU50" i="28"/>
  <c r="CV50" i="28"/>
  <c r="CW50" i="28"/>
  <c r="CX50" i="28"/>
  <c r="CY50" i="28"/>
  <c r="CZ50" i="28"/>
  <c r="DA50" i="28"/>
  <c r="DB50" i="28"/>
  <c r="DC50" i="28"/>
  <c r="DD50" i="28"/>
  <c r="DE50" i="28"/>
  <c r="DF50" i="28"/>
  <c r="DG50" i="28"/>
  <c r="DH50" i="28"/>
  <c r="DI50" i="28"/>
  <c r="DJ50" i="28"/>
  <c r="DK50" i="28"/>
  <c r="DL50" i="28"/>
  <c r="DM50" i="28"/>
  <c r="DN50" i="28"/>
  <c r="DO50" i="28"/>
  <c r="DP50" i="28"/>
  <c r="DQ50" i="28"/>
  <c r="DR50" i="28"/>
  <c r="DS50" i="28"/>
  <c r="DT50" i="28"/>
  <c r="DU50" i="28"/>
  <c r="DV50" i="28"/>
  <c r="DW50" i="28"/>
  <c r="DX50" i="28"/>
  <c r="DY50" i="28"/>
  <c r="DZ50" i="28"/>
  <c r="EA50" i="28"/>
  <c r="EB50" i="28"/>
  <c r="EC50" i="28"/>
  <c r="ED50" i="28"/>
  <c r="EE50" i="28"/>
  <c r="EF50" i="28"/>
  <c r="EG50" i="28"/>
  <c r="EH50" i="28"/>
  <c r="EI50" i="28"/>
  <c r="EJ50" i="28"/>
  <c r="EK50" i="28"/>
  <c r="EL50" i="28"/>
  <c r="EM50" i="28"/>
  <c r="EN50" i="28"/>
  <c r="EO50" i="28"/>
  <c r="EP50" i="28"/>
  <c r="EQ50" i="28"/>
  <c r="ER50" i="28"/>
  <c r="ES50" i="28"/>
  <c r="ET50" i="28"/>
  <c r="EU50" i="28"/>
  <c r="EV50" i="28"/>
  <c r="EW50" i="28"/>
  <c r="EX50" i="28"/>
  <c r="EY50" i="28"/>
  <c r="EZ50" i="28"/>
  <c r="FA50" i="28"/>
  <c r="FB50" i="28"/>
  <c r="FC50" i="28"/>
  <c r="FD50" i="28"/>
  <c r="FE50" i="28"/>
  <c r="FF50" i="28"/>
  <c r="FG50" i="28"/>
  <c r="FH50" i="28"/>
  <c r="FI50" i="28"/>
  <c r="FJ50" i="28"/>
  <c r="FK50" i="28"/>
  <c r="FL50" i="28"/>
  <c r="FM50" i="28"/>
  <c r="FN50" i="28"/>
  <c r="FO50" i="28"/>
  <c r="FP50" i="28"/>
  <c r="FQ50" i="28"/>
  <c r="FR50" i="28"/>
  <c r="FS50" i="28"/>
  <c r="FT50" i="28"/>
  <c r="FU50" i="28"/>
  <c r="FV50" i="28"/>
  <c r="FW50" i="28"/>
  <c r="FX50" i="28"/>
  <c r="FY50" i="28"/>
  <c r="FZ50" i="28"/>
  <c r="GA50" i="28"/>
  <c r="GB50" i="28"/>
  <c r="GC50" i="28"/>
  <c r="GD50" i="28"/>
  <c r="GE50" i="28"/>
  <c r="GF50" i="28"/>
  <c r="GG50" i="28"/>
  <c r="GH50" i="28"/>
  <c r="GI50" i="28"/>
  <c r="GJ50" i="28"/>
  <c r="GK50" i="28"/>
  <c r="GL50" i="28"/>
  <c r="GM50" i="28"/>
  <c r="GN50" i="28"/>
  <c r="GO50" i="28"/>
  <c r="GP50" i="28"/>
  <c r="GQ50" i="28"/>
  <c r="GR50" i="28"/>
  <c r="GS50" i="28"/>
  <c r="GT50" i="28"/>
  <c r="GU50" i="28"/>
  <c r="GV50" i="28"/>
  <c r="GW50" i="28"/>
  <c r="GX50" i="28"/>
  <c r="GY50" i="28"/>
  <c r="GZ50" i="28"/>
  <c r="HA50" i="28"/>
  <c r="HB50" i="28"/>
  <c r="HC50" i="28"/>
  <c r="HD50" i="28"/>
  <c r="HE50" i="28"/>
  <c r="HF50" i="28"/>
  <c r="HG50" i="28"/>
  <c r="HH50" i="28"/>
  <c r="HI50" i="28"/>
  <c r="HJ50" i="28"/>
  <c r="HK50" i="28"/>
  <c r="HL50" i="28"/>
  <c r="HM50" i="28"/>
  <c r="HN50" i="28"/>
  <c r="HO50" i="28"/>
  <c r="HP50" i="28"/>
  <c r="HQ50" i="28"/>
  <c r="HR50" i="28"/>
  <c r="HS50" i="28"/>
  <c r="HT50" i="28"/>
  <c r="HU50" i="28"/>
  <c r="HV50" i="28"/>
  <c r="HW50" i="28"/>
  <c r="HX50" i="28"/>
  <c r="HY50" i="28"/>
  <c r="HZ50" i="28"/>
  <c r="IA50" i="28"/>
  <c r="IB50" i="28"/>
  <c r="IC50" i="28"/>
  <c r="ID50" i="28"/>
  <c r="IE50" i="28"/>
  <c r="IF50" i="28"/>
  <c r="IG50" i="28"/>
  <c r="IH50" i="28"/>
  <c r="II50" i="28"/>
  <c r="IJ50" i="28"/>
  <c r="IK50" i="28"/>
  <c r="IL50" i="28"/>
  <c r="IM50" i="28"/>
  <c r="IN50" i="28"/>
  <c r="IO50" i="28"/>
  <c r="IP50" i="28"/>
  <c r="IQ50" i="28"/>
  <c r="IR50" i="28"/>
  <c r="IS50" i="28"/>
  <c r="IT50" i="28"/>
  <c r="IU50" i="28"/>
  <c r="IV50" i="28"/>
  <c r="A49" i="28"/>
  <c r="B49" i="28"/>
  <c r="C49" i="28"/>
  <c r="D49" i="28"/>
  <c r="E49" i="28"/>
  <c r="F49" i="28"/>
  <c r="G49" i="28"/>
  <c r="H49" i="28"/>
  <c r="I49" i="28"/>
  <c r="J49" i="28"/>
  <c r="K49" i="28"/>
  <c r="L49" i="28"/>
  <c r="M49" i="28"/>
  <c r="N49" i="28"/>
  <c r="O49" i="28"/>
  <c r="P49" i="28"/>
  <c r="Q49" i="28"/>
  <c r="R49" i="28"/>
  <c r="S49" i="28"/>
  <c r="T49" i="28"/>
  <c r="U49" i="28"/>
  <c r="V49" i="28"/>
  <c r="W49" i="28"/>
  <c r="X49" i="28"/>
  <c r="Y49" i="28"/>
  <c r="Z49" i="28"/>
  <c r="AA49" i="28"/>
  <c r="AB49" i="28"/>
  <c r="AC49" i="28"/>
  <c r="AD49" i="28"/>
  <c r="AE49" i="28"/>
  <c r="AF49" i="28"/>
  <c r="AG49" i="28"/>
  <c r="AH49" i="28"/>
  <c r="AI49" i="28"/>
  <c r="AJ49" i="28"/>
  <c r="AK49" i="28"/>
  <c r="AL49" i="28"/>
  <c r="AM49" i="28"/>
  <c r="AN49" i="28"/>
  <c r="AO49" i="28"/>
  <c r="AP49" i="28"/>
  <c r="AQ49" i="28"/>
  <c r="AR49" i="28"/>
  <c r="AS49" i="28"/>
  <c r="AT49" i="28"/>
  <c r="AU49" i="28"/>
  <c r="AV49" i="28"/>
  <c r="AW49" i="28"/>
  <c r="AX49" i="28"/>
  <c r="AY49" i="28"/>
  <c r="AZ49" i="28"/>
  <c r="BA49" i="28"/>
  <c r="BB49" i="28"/>
  <c r="BC49" i="28"/>
  <c r="BD49" i="28"/>
  <c r="BE49" i="28"/>
  <c r="BF49" i="28"/>
  <c r="BG49" i="28"/>
  <c r="BH49" i="28"/>
  <c r="BI49" i="28"/>
  <c r="BJ49" i="28"/>
  <c r="BK49" i="28"/>
  <c r="BL49" i="28"/>
  <c r="BM49" i="28"/>
  <c r="BN49" i="28"/>
  <c r="BO49" i="28"/>
  <c r="BP49" i="28"/>
  <c r="BQ49" i="28"/>
  <c r="BR49" i="28"/>
  <c r="BS49" i="28"/>
  <c r="BT49" i="28"/>
  <c r="BU49" i="28"/>
  <c r="BV49" i="28"/>
  <c r="BW49" i="28"/>
  <c r="BX49" i="28"/>
  <c r="BY49" i="28"/>
  <c r="BZ49" i="28"/>
  <c r="CA49" i="28"/>
  <c r="CB49" i="28"/>
  <c r="CC49" i="28"/>
  <c r="CD49" i="28"/>
  <c r="CE49" i="28"/>
  <c r="CF49" i="28"/>
  <c r="CG49" i="28"/>
  <c r="CH49" i="28"/>
  <c r="CI49" i="28"/>
  <c r="CJ49" i="28"/>
  <c r="CK49" i="28"/>
  <c r="CL49" i="28"/>
  <c r="CM49" i="28"/>
  <c r="CN49" i="28"/>
  <c r="CO49" i="28"/>
  <c r="CP49" i="28"/>
  <c r="CQ49" i="28"/>
  <c r="CR49" i="28"/>
  <c r="CS49" i="28"/>
  <c r="CT49" i="28"/>
  <c r="CU49" i="28"/>
  <c r="CV49" i="28"/>
  <c r="CW49" i="28"/>
  <c r="CX49" i="28"/>
  <c r="CY49" i="28"/>
  <c r="CZ49" i="28"/>
  <c r="DA49" i="28"/>
  <c r="DB49" i="28"/>
  <c r="DC49" i="28"/>
  <c r="DD49" i="28"/>
  <c r="DE49" i="28"/>
  <c r="DF49" i="28"/>
  <c r="DG49" i="28"/>
  <c r="DH49" i="28"/>
  <c r="DI49" i="28"/>
  <c r="DJ49" i="28"/>
  <c r="DK49" i="28"/>
  <c r="DL49" i="28"/>
  <c r="DM49" i="28"/>
  <c r="DN49" i="28"/>
  <c r="DO49" i="28"/>
  <c r="DP49" i="28"/>
  <c r="DQ49" i="28"/>
  <c r="DR49" i="28"/>
  <c r="DS49" i="28"/>
  <c r="DT49" i="28"/>
  <c r="DU49" i="28"/>
  <c r="DV49" i="28"/>
  <c r="DW49" i="28"/>
  <c r="DX49" i="28"/>
  <c r="DY49" i="28"/>
  <c r="DZ49" i="28"/>
  <c r="EA49" i="28"/>
  <c r="EB49" i="28"/>
  <c r="EC49" i="28"/>
  <c r="ED49" i="28"/>
  <c r="EE49" i="28"/>
  <c r="EF49" i="28"/>
  <c r="EG49" i="28"/>
  <c r="EH49" i="28"/>
  <c r="EI49" i="28"/>
  <c r="EJ49" i="28"/>
  <c r="EK49" i="28"/>
  <c r="EL49" i="28"/>
  <c r="EM49" i="28"/>
  <c r="EN49" i="28"/>
  <c r="EO49" i="28"/>
  <c r="EP49" i="28"/>
  <c r="EQ49" i="28"/>
  <c r="ER49" i="28"/>
  <c r="ES49" i="28"/>
  <c r="ET49" i="28"/>
  <c r="EU49" i="28"/>
  <c r="EV49" i="28"/>
  <c r="EW49" i="28"/>
  <c r="EX49" i="28"/>
  <c r="EY49" i="28"/>
  <c r="EZ49" i="28"/>
  <c r="FA49" i="28"/>
  <c r="FB49" i="28"/>
  <c r="FC49" i="28"/>
  <c r="FD49" i="28"/>
  <c r="FE49" i="28"/>
  <c r="FF49" i="28"/>
  <c r="FG49" i="28"/>
  <c r="FH49" i="28"/>
  <c r="FI49" i="28"/>
  <c r="FJ49" i="28"/>
  <c r="FK49" i="28"/>
  <c r="FL49" i="28"/>
  <c r="FM49" i="28"/>
  <c r="FN49" i="28"/>
  <c r="FO49" i="28"/>
  <c r="FP49" i="28"/>
  <c r="FQ49" i="28"/>
  <c r="FR49" i="28"/>
  <c r="FS49" i="28"/>
  <c r="FT49" i="28"/>
  <c r="FU49" i="28"/>
  <c r="FV49" i="28"/>
  <c r="FW49" i="28"/>
  <c r="FX49" i="28"/>
  <c r="FY49" i="28"/>
  <c r="FZ49" i="28"/>
  <c r="GA49" i="28"/>
  <c r="GB49" i="28"/>
  <c r="GC49" i="28"/>
  <c r="GD49" i="28"/>
  <c r="GE49" i="28"/>
  <c r="GF49" i="28"/>
  <c r="GG49" i="28"/>
  <c r="GH49" i="28"/>
  <c r="GI49" i="28"/>
  <c r="GJ49" i="28"/>
  <c r="GK49" i="28"/>
  <c r="GL49" i="28"/>
  <c r="GM49" i="28"/>
  <c r="GN49" i="28"/>
  <c r="GO49" i="28"/>
  <c r="GP49" i="28"/>
  <c r="GQ49" i="28"/>
  <c r="GR49" i="28"/>
  <c r="GS49" i="28"/>
  <c r="GT49" i="28"/>
  <c r="GU49" i="28"/>
  <c r="GV49" i="28"/>
  <c r="GW49" i="28"/>
  <c r="GX49" i="28"/>
  <c r="GY49" i="28"/>
  <c r="GZ49" i="28"/>
  <c r="HA49" i="28"/>
  <c r="HB49" i="28"/>
  <c r="HC49" i="28"/>
  <c r="HD49" i="28"/>
  <c r="HE49" i="28"/>
  <c r="HF49" i="28"/>
  <c r="HG49" i="28"/>
  <c r="HH49" i="28"/>
  <c r="HI49" i="28"/>
  <c r="HJ49" i="28"/>
  <c r="HK49" i="28"/>
  <c r="HL49" i="28"/>
  <c r="HM49" i="28"/>
  <c r="HN49" i="28"/>
  <c r="HO49" i="28"/>
  <c r="HP49" i="28"/>
  <c r="HQ49" i="28"/>
  <c r="HR49" i="28"/>
  <c r="HS49" i="28"/>
  <c r="HT49" i="28"/>
  <c r="HU49" i="28"/>
  <c r="HV49" i="28"/>
  <c r="HW49" i="28"/>
  <c r="HX49" i="28"/>
  <c r="HY49" i="28"/>
  <c r="HZ49" i="28"/>
  <c r="IA49" i="28"/>
  <c r="IB49" i="28"/>
  <c r="IC49" i="28"/>
  <c r="ID49" i="28"/>
  <c r="IE49" i="28"/>
  <c r="IF49" i="28"/>
  <c r="IG49" i="28"/>
  <c r="IH49" i="28"/>
  <c r="II49" i="28"/>
  <c r="IJ49" i="28"/>
  <c r="IK49" i="28"/>
  <c r="IL49" i="28"/>
  <c r="IM49" i="28"/>
  <c r="IN49" i="28"/>
  <c r="IO49" i="28"/>
  <c r="IP49" i="28"/>
  <c r="IQ49" i="28"/>
  <c r="IR49" i="28"/>
  <c r="IS49" i="28"/>
  <c r="IT49" i="28"/>
  <c r="IU49" i="28"/>
  <c r="IV49" i="28"/>
  <c r="A48" i="28"/>
  <c r="B48" i="28"/>
  <c r="C48" i="28"/>
  <c r="D48" i="28"/>
  <c r="E48" i="28"/>
  <c r="F48" i="28"/>
  <c r="G48" i="28"/>
  <c r="H48" i="28"/>
  <c r="I48" i="28"/>
  <c r="J48" i="28"/>
  <c r="K48" i="28"/>
  <c r="L48" i="28"/>
  <c r="M48" i="28"/>
  <c r="N48" i="28"/>
  <c r="O48" i="28"/>
  <c r="P48" i="28"/>
  <c r="Q48" i="28"/>
  <c r="R48" i="28"/>
  <c r="S48" i="28"/>
  <c r="T48" i="28"/>
  <c r="U48" i="28"/>
  <c r="V48" i="28"/>
  <c r="W48" i="28"/>
  <c r="X48" i="28"/>
  <c r="Y48" i="28"/>
  <c r="Z48" i="28"/>
  <c r="AA48" i="28"/>
  <c r="AB48" i="28"/>
  <c r="AC48" i="28"/>
  <c r="AD48" i="28"/>
  <c r="AE48" i="28"/>
  <c r="AF48" i="28"/>
  <c r="AG48" i="28"/>
  <c r="AH48" i="28"/>
  <c r="AI48" i="28"/>
  <c r="AJ48" i="28"/>
  <c r="AK48" i="28"/>
  <c r="AL48" i="28"/>
  <c r="AM48" i="28"/>
  <c r="AN48" i="28"/>
  <c r="AO48" i="28"/>
  <c r="AP48" i="28"/>
  <c r="AQ48" i="28"/>
  <c r="AR48" i="28"/>
  <c r="AS48" i="28"/>
  <c r="AT48" i="28"/>
  <c r="AU48" i="28"/>
  <c r="AV48" i="28"/>
  <c r="AW48" i="28"/>
  <c r="AX48" i="28"/>
  <c r="AY48" i="28"/>
  <c r="AZ48" i="28"/>
  <c r="BA48" i="28"/>
  <c r="BB48" i="28"/>
  <c r="BC48" i="28"/>
  <c r="BD48" i="28"/>
  <c r="BE48" i="28"/>
  <c r="BF48" i="28"/>
  <c r="BG48" i="28"/>
  <c r="BH48" i="28"/>
  <c r="BI48" i="28"/>
  <c r="BJ48" i="28"/>
  <c r="BK48" i="28"/>
  <c r="BL48" i="28"/>
  <c r="BM48" i="28"/>
  <c r="BN48" i="28"/>
  <c r="BO48" i="28"/>
  <c r="BP48" i="28"/>
  <c r="BQ48" i="28"/>
  <c r="BR48" i="28"/>
  <c r="BS48" i="28"/>
  <c r="BT48" i="28"/>
  <c r="BU48" i="28"/>
  <c r="BV48" i="28"/>
  <c r="BW48" i="28"/>
  <c r="BX48" i="28"/>
  <c r="BY48" i="28"/>
  <c r="BZ48" i="28"/>
  <c r="CA48" i="28"/>
  <c r="CB48" i="28"/>
  <c r="CC48" i="28"/>
  <c r="CD48" i="28"/>
  <c r="CE48" i="28"/>
  <c r="CF48" i="28"/>
  <c r="CG48" i="28"/>
  <c r="CH48" i="28"/>
  <c r="CI48" i="28"/>
  <c r="CJ48" i="28"/>
  <c r="CK48" i="28"/>
  <c r="CL48" i="28"/>
  <c r="CM48" i="28"/>
  <c r="CN48" i="28"/>
  <c r="CO48" i="28"/>
  <c r="CP48" i="28"/>
  <c r="CQ48" i="28"/>
  <c r="CR48" i="28"/>
  <c r="CS48" i="28"/>
  <c r="CT48" i="28"/>
  <c r="CU48" i="28"/>
  <c r="CV48" i="28"/>
  <c r="CW48" i="28"/>
  <c r="CX48" i="28"/>
  <c r="CY48" i="28"/>
  <c r="CZ48" i="28"/>
  <c r="DA48" i="28"/>
  <c r="DB48" i="28"/>
  <c r="DC48" i="28"/>
  <c r="DD48" i="28"/>
  <c r="DE48" i="28"/>
  <c r="DF48" i="28"/>
  <c r="DG48" i="28"/>
  <c r="DH48" i="28"/>
  <c r="DI48" i="28"/>
  <c r="DJ48" i="28"/>
  <c r="DK48" i="28"/>
  <c r="DL48" i="28"/>
  <c r="DM48" i="28"/>
  <c r="DN48" i="28"/>
  <c r="DO48" i="28"/>
  <c r="DP48" i="28"/>
  <c r="DQ48" i="28"/>
  <c r="DR48" i="28"/>
  <c r="DS48" i="28"/>
  <c r="DT48" i="28"/>
  <c r="DU48" i="28"/>
  <c r="DV48" i="28"/>
  <c r="DW48" i="28"/>
  <c r="DX48" i="28"/>
  <c r="DY48" i="28"/>
  <c r="DZ48" i="28"/>
  <c r="EA48" i="28"/>
  <c r="EB48" i="28"/>
  <c r="EC48" i="28"/>
  <c r="ED48" i="28"/>
  <c r="EE48" i="28"/>
  <c r="EF48" i="28"/>
  <c r="EG48" i="28"/>
  <c r="EH48" i="28"/>
  <c r="EI48" i="28"/>
  <c r="EJ48" i="28"/>
  <c r="EK48" i="28"/>
  <c r="EL48" i="28"/>
  <c r="EM48" i="28"/>
  <c r="EN48" i="28"/>
  <c r="EO48" i="28"/>
  <c r="EP48" i="28"/>
  <c r="EQ48" i="28"/>
  <c r="ER48" i="28"/>
  <c r="ES48" i="28"/>
  <c r="ET48" i="28"/>
  <c r="EU48" i="28"/>
  <c r="EV48" i="28"/>
  <c r="EW48" i="28"/>
  <c r="EX48" i="28"/>
  <c r="EY48" i="28"/>
  <c r="EZ48" i="28"/>
  <c r="FA48" i="28"/>
  <c r="FB48" i="28"/>
  <c r="FC48" i="28"/>
  <c r="FD48" i="28"/>
  <c r="FE48" i="28"/>
  <c r="FF48" i="28"/>
  <c r="FG48" i="28"/>
  <c r="FH48" i="28"/>
  <c r="FI48" i="28"/>
  <c r="FJ48" i="28"/>
  <c r="FK48" i="28"/>
  <c r="FL48" i="28"/>
  <c r="FM48" i="28"/>
  <c r="FN48" i="28"/>
  <c r="FO48" i="28"/>
  <c r="FP48" i="28"/>
  <c r="FQ48" i="28"/>
  <c r="FR48" i="28"/>
  <c r="FS48" i="28"/>
  <c r="FT48" i="28"/>
  <c r="FU48" i="28"/>
  <c r="FV48" i="28"/>
  <c r="FW48" i="28"/>
  <c r="FX48" i="28"/>
  <c r="FY48" i="28"/>
  <c r="FZ48" i="28"/>
  <c r="GA48" i="28"/>
  <c r="GB48" i="28"/>
  <c r="GC48" i="28"/>
  <c r="GD48" i="28"/>
  <c r="GE48" i="28"/>
  <c r="GF48" i="28"/>
  <c r="GG48" i="28"/>
  <c r="GH48" i="28"/>
  <c r="GI48" i="28"/>
  <c r="GJ48" i="28"/>
  <c r="GK48" i="28"/>
  <c r="GL48" i="28"/>
  <c r="GM48" i="28"/>
  <c r="GN48" i="28"/>
  <c r="GO48" i="28"/>
  <c r="GP48" i="28"/>
  <c r="GQ48" i="28"/>
  <c r="GR48" i="28"/>
  <c r="GS48" i="28"/>
  <c r="GT48" i="28"/>
  <c r="GU48" i="28"/>
  <c r="GV48" i="28"/>
  <c r="GW48" i="28"/>
  <c r="GX48" i="28"/>
  <c r="GY48" i="28"/>
  <c r="GZ48" i="28"/>
  <c r="HA48" i="28"/>
  <c r="HB48" i="28"/>
  <c r="HC48" i="28"/>
  <c r="HD48" i="28"/>
  <c r="HE48" i="28"/>
  <c r="HF48" i="28"/>
  <c r="HG48" i="28"/>
  <c r="HH48" i="28"/>
  <c r="HI48" i="28"/>
  <c r="HJ48" i="28"/>
  <c r="HK48" i="28"/>
  <c r="HL48" i="28"/>
  <c r="HM48" i="28"/>
  <c r="HN48" i="28"/>
  <c r="HO48" i="28"/>
  <c r="HP48" i="28"/>
  <c r="HQ48" i="28"/>
  <c r="HR48" i="28"/>
  <c r="HS48" i="28"/>
  <c r="HT48" i="28"/>
  <c r="HU48" i="28"/>
  <c r="HV48" i="28"/>
  <c r="HW48" i="28"/>
  <c r="HX48" i="28"/>
  <c r="HY48" i="28"/>
  <c r="HZ48" i="28"/>
  <c r="IA48" i="28"/>
  <c r="IB48" i="28"/>
  <c r="IC48" i="28"/>
  <c r="ID48" i="28"/>
  <c r="IE48" i="28"/>
  <c r="IF48" i="28"/>
  <c r="IG48" i="28"/>
  <c r="IH48" i="28"/>
  <c r="II48" i="28"/>
  <c r="IJ48" i="28"/>
  <c r="IK48" i="28"/>
  <c r="IL48" i="28"/>
  <c r="IM48" i="28"/>
  <c r="IN48" i="28"/>
  <c r="IO48" i="28"/>
  <c r="IP48" i="28"/>
  <c r="IQ48" i="28"/>
  <c r="IR48" i="28"/>
  <c r="IS48" i="28"/>
  <c r="IT48" i="28"/>
  <c r="IU48" i="28"/>
  <c r="IV48" i="28"/>
  <c r="A47" i="28"/>
  <c r="B47" i="28"/>
  <c r="C47" i="28"/>
  <c r="D47" i="28"/>
  <c r="E47" i="28"/>
  <c r="F47" i="28"/>
  <c r="G47" i="28"/>
  <c r="H47" i="28"/>
  <c r="I47" i="28"/>
  <c r="J47" i="28"/>
  <c r="K47" i="28"/>
  <c r="L47" i="28"/>
  <c r="M47" i="28"/>
  <c r="N47" i="28"/>
  <c r="O47" i="28"/>
  <c r="P47" i="28"/>
  <c r="Q47" i="28"/>
  <c r="R47" i="28"/>
  <c r="S47" i="28"/>
  <c r="T47" i="28"/>
  <c r="U47" i="28"/>
  <c r="V47" i="28"/>
  <c r="W47" i="28"/>
  <c r="X47" i="28"/>
  <c r="Y47" i="28"/>
  <c r="Z47" i="28"/>
  <c r="AA47" i="28"/>
  <c r="AB47" i="28"/>
  <c r="AC47" i="28"/>
  <c r="AD47" i="28"/>
  <c r="AE47" i="28"/>
  <c r="AF47" i="28"/>
  <c r="AG47" i="28"/>
  <c r="AH47" i="28"/>
  <c r="AI47" i="28"/>
  <c r="AJ47" i="28"/>
  <c r="AK47" i="28"/>
  <c r="AL47" i="28"/>
  <c r="AM47" i="28"/>
  <c r="AN47" i="28"/>
  <c r="AO47" i="28"/>
  <c r="AP47" i="28"/>
  <c r="AQ47" i="28"/>
  <c r="AR47" i="28"/>
  <c r="AS47" i="28"/>
  <c r="AT47" i="28"/>
  <c r="AU47" i="28"/>
  <c r="AV47" i="28"/>
  <c r="AW47" i="28"/>
  <c r="AX47" i="28"/>
  <c r="AY47" i="28"/>
  <c r="AZ47" i="28"/>
  <c r="BA47" i="28"/>
  <c r="BB47" i="28"/>
  <c r="BC47" i="28"/>
  <c r="BD47" i="28"/>
  <c r="BE47" i="28"/>
  <c r="BF47" i="28"/>
  <c r="BG47" i="28"/>
  <c r="BH47" i="28"/>
  <c r="BI47" i="28"/>
  <c r="BJ47" i="28"/>
  <c r="BK47" i="28"/>
  <c r="BL47" i="28"/>
  <c r="BM47" i="28"/>
  <c r="BN47" i="28"/>
  <c r="BO47" i="28"/>
  <c r="BP47" i="28"/>
  <c r="BQ47" i="28"/>
  <c r="BR47" i="28"/>
  <c r="BS47" i="28"/>
  <c r="BT47" i="28"/>
  <c r="BU47" i="28"/>
  <c r="BV47" i="28"/>
  <c r="BW47" i="28"/>
  <c r="BX47" i="28"/>
  <c r="BY47" i="28"/>
  <c r="BZ47" i="28"/>
  <c r="CA47" i="28"/>
  <c r="CB47" i="28"/>
  <c r="CC47" i="28"/>
  <c r="CD47" i="28"/>
  <c r="CE47" i="28"/>
  <c r="CF47" i="28"/>
  <c r="CG47" i="28"/>
  <c r="CH47" i="28"/>
  <c r="CI47" i="28"/>
  <c r="CJ47" i="28"/>
  <c r="CK47" i="28"/>
  <c r="CL47" i="28"/>
  <c r="CM47" i="28"/>
  <c r="CN47" i="28"/>
  <c r="CO47" i="28"/>
  <c r="CP47" i="28"/>
  <c r="CQ47" i="28"/>
  <c r="CR47" i="28"/>
  <c r="CS47" i="28"/>
  <c r="CT47" i="28"/>
  <c r="CU47" i="28"/>
  <c r="CV47" i="28"/>
  <c r="CW47" i="28"/>
  <c r="CX47" i="28"/>
  <c r="CY47" i="28"/>
  <c r="CZ47" i="28"/>
  <c r="DA47" i="28"/>
  <c r="DB47" i="28"/>
  <c r="DC47" i="28"/>
  <c r="DD47" i="28"/>
  <c r="DE47" i="28"/>
  <c r="DF47" i="28"/>
  <c r="DG47" i="28"/>
  <c r="DH47" i="28"/>
  <c r="DI47" i="28"/>
  <c r="DJ47" i="28"/>
  <c r="DK47" i="28"/>
  <c r="DL47" i="28"/>
  <c r="DM47" i="28"/>
  <c r="DN47" i="28"/>
  <c r="DO47" i="28"/>
  <c r="DP47" i="28"/>
  <c r="DQ47" i="28"/>
  <c r="DR47" i="28"/>
  <c r="DS47" i="28"/>
  <c r="DT47" i="28"/>
  <c r="DU47" i="28"/>
  <c r="DV47" i="28"/>
  <c r="DW47" i="28"/>
  <c r="DX47" i="28"/>
  <c r="DY47" i="28"/>
  <c r="DZ47" i="28"/>
  <c r="EA47" i="28"/>
  <c r="EB47" i="28"/>
  <c r="EC47" i="28"/>
  <c r="ED47" i="28"/>
  <c r="EE47" i="28"/>
  <c r="EF47" i="28"/>
  <c r="EG47" i="28"/>
  <c r="EH47" i="28"/>
  <c r="EI47" i="28"/>
  <c r="EJ47" i="28"/>
  <c r="EK47" i="28"/>
  <c r="EL47" i="28"/>
  <c r="EM47" i="28"/>
  <c r="EN47" i="28"/>
  <c r="EO47" i="28"/>
  <c r="EP47" i="28"/>
  <c r="EQ47" i="28"/>
  <c r="ER47" i="28"/>
  <c r="ES47" i="28"/>
  <c r="ET47" i="28"/>
  <c r="EU47" i="28"/>
  <c r="EV47" i="28"/>
  <c r="EW47" i="28"/>
  <c r="EX47" i="28"/>
  <c r="EY47" i="28"/>
  <c r="EZ47" i="28"/>
  <c r="FA47" i="28"/>
  <c r="FB47" i="28"/>
  <c r="FC47" i="28"/>
  <c r="FD47" i="28"/>
  <c r="FE47" i="28"/>
  <c r="FF47" i="28"/>
  <c r="FG47" i="28"/>
  <c r="FH47" i="28"/>
  <c r="FI47" i="28"/>
  <c r="FJ47" i="28"/>
  <c r="FK47" i="28"/>
  <c r="FL47" i="28"/>
  <c r="FM47" i="28"/>
  <c r="FN47" i="28"/>
  <c r="FO47" i="28"/>
  <c r="FP47" i="28"/>
  <c r="FQ47" i="28"/>
  <c r="FR47" i="28"/>
  <c r="FS47" i="28"/>
  <c r="FT47" i="28"/>
  <c r="FU47" i="28"/>
  <c r="FV47" i="28"/>
  <c r="FW47" i="28"/>
  <c r="FX47" i="28"/>
  <c r="FY47" i="28"/>
  <c r="FZ47" i="28"/>
  <c r="GA47" i="28"/>
  <c r="GB47" i="28"/>
  <c r="GC47" i="28"/>
  <c r="GD47" i="28"/>
  <c r="GE47" i="28"/>
  <c r="GF47" i="28"/>
  <c r="GG47" i="28"/>
  <c r="GH47" i="28"/>
  <c r="GI47" i="28"/>
  <c r="GJ47" i="28"/>
  <c r="GK47" i="28"/>
  <c r="GL47" i="28"/>
  <c r="GM47" i="28"/>
  <c r="GN47" i="28"/>
  <c r="GO47" i="28"/>
  <c r="GP47" i="28"/>
  <c r="GQ47" i="28"/>
  <c r="GR47" i="28"/>
  <c r="GS47" i="28"/>
  <c r="GT47" i="28"/>
  <c r="GU47" i="28"/>
  <c r="GV47" i="28"/>
  <c r="GW47" i="28"/>
  <c r="GX47" i="28"/>
  <c r="GY47" i="28"/>
  <c r="GZ47" i="28"/>
  <c r="HA47" i="28"/>
  <c r="HB47" i="28"/>
  <c r="HC47" i="28"/>
  <c r="HD47" i="28"/>
  <c r="HE47" i="28"/>
  <c r="HF47" i="28"/>
  <c r="HG47" i="28"/>
  <c r="HH47" i="28"/>
  <c r="HI47" i="28"/>
  <c r="HJ47" i="28"/>
  <c r="HK47" i="28"/>
  <c r="HL47" i="28"/>
  <c r="HM47" i="28"/>
  <c r="HN47" i="28"/>
  <c r="HO47" i="28"/>
  <c r="HP47" i="28"/>
  <c r="HQ47" i="28"/>
  <c r="HR47" i="28"/>
  <c r="HS47" i="28"/>
  <c r="HT47" i="28"/>
  <c r="HU47" i="28"/>
  <c r="HV47" i="28"/>
  <c r="HW47" i="28"/>
  <c r="HX47" i="28"/>
  <c r="HY47" i="28"/>
  <c r="HZ47" i="28"/>
  <c r="IA47" i="28"/>
  <c r="IB47" i="28"/>
  <c r="IC47" i="28"/>
  <c r="ID47" i="28"/>
  <c r="IE47" i="28"/>
  <c r="IF47" i="28"/>
  <c r="IG47" i="28"/>
  <c r="IH47" i="28"/>
  <c r="II47" i="28"/>
  <c r="IJ47" i="28"/>
  <c r="IK47" i="28"/>
  <c r="IL47" i="28"/>
  <c r="IM47" i="28"/>
  <c r="IN47" i="28"/>
  <c r="IO47" i="28"/>
  <c r="IP47" i="28"/>
  <c r="IQ47" i="28"/>
  <c r="IR47" i="28"/>
  <c r="IS47" i="28"/>
  <c r="IT47" i="28"/>
  <c r="IU47" i="28"/>
  <c r="IV47" i="28"/>
  <c r="A46" i="28"/>
  <c r="B46" i="28"/>
  <c r="C46" i="28"/>
  <c r="D46" i="28"/>
  <c r="E46" i="28"/>
  <c r="F46" i="28"/>
  <c r="G46" i="28"/>
  <c r="H46" i="28"/>
  <c r="I46" i="28"/>
  <c r="J46" i="28"/>
  <c r="K46" i="28"/>
  <c r="L46" i="28"/>
  <c r="M46" i="28"/>
  <c r="N46" i="28"/>
  <c r="O46" i="28"/>
  <c r="P46" i="28"/>
  <c r="Q46" i="28"/>
  <c r="R46" i="28"/>
  <c r="S46" i="28"/>
  <c r="T46" i="28"/>
  <c r="U46" i="28"/>
  <c r="V46" i="28"/>
  <c r="W46" i="28"/>
  <c r="X46" i="28"/>
  <c r="Y46" i="28"/>
  <c r="Z46" i="28"/>
  <c r="AA46" i="28"/>
  <c r="AB46" i="28"/>
  <c r="AC46" i="28"/>
  <c r="AD46" i="28"/>
  <c r="AE46" i="28"/>
  <c r="AF46" i="28"/>
  <c r="AG46" i="28"/>
  <c r="AH46" i="28"/>
  <c r="AI46" i="28"/>
  <c r="AJ46" i="28"/>
  <c r="AK46" i="28"/>
  <c r="AL46" i="28"/>
  <c r="AM46" i="28"/>
  <c r="AN46" i="28"/>
  <c r="AO46" i="28"/>
  <c r="AP46" i="28"/>
  <c r="AQ46" i="28"/>
  <c r="AR46" i="28"/>
  <c r="AS46" i="28"/>
  <c r="AT46" i="28"/>
  <c r="AU46" i="28"/>
  <c r="AV46" i="28"/>
  <c r="AW46" i="28"/>
  <c r="AX46" i="28"/>
  <c r="AY46" i="28"/>
  <c r="AZ46" i="28"/>
  <c r="BA46" i="28"/>
  <c r="BB46" i="28"/>
  <c r="BC46" i="28"/>
  <c r="BD46" i="28"/>
  <c r="BE46" i="28"/>
  <c r="BF46" i="28"/>
  <c r="BG46" i="28"/>
  <c r="BH46" i="28"/>
  <c r="BI46" i="28"/>
  <c r="BJ46" i="28"/>
  <c r="BK46" i="28"/>
  <c r="BL46" i="28"/>
  <c r="BM46" i="28"/>
  <c r="BN46" i="28"/>
  <c r="BO46" i="28"/>
  <c r="BP46" i="28"/>
  <c r="BQ46" i="28"/>
  <c r="BR46" i="28"/>
  <c r="BS46" i="28"/>
  <c r="BT46" i="28"/>
  <c r="BU46" i="28"/>
  <c r="BV46" i="28"/>
  <c r="BW46" i="28"/>
  <c r="BX46" i="28"/>
  <c r="BY46" i="28"/>
  <c r="BZ46" i="28"/>
  <c r="CA46" i="28"/>
  <c r="CB46" i="28"/>
  <c r="CC46" i="28"/>
  <c r="CD46" i="28"/>
  <c r="CE46" i="28"/>
  <c r="CF46" i="28"/>
  <c r="CG46" i="28"/>
  <c r="CH46" i="28"/>
  <c r="CI46" i="28"/>
  <c r="CJ46" i="28"/>
  <c r="CK46" i="28"/>
  <c r="CL46" i="28"/>
  <c r="CM46" i="28"/>
  <c r="CN46" i="28"/>
  <c r="CO46" i="28"/>
  <c r="CP46" i="28"/>
  <c r="CQ46" i="28"/>
  <c r="CR46" i="28"/>
  <c r="CS46" i="28"/>
  <c r="CT46" i="28"/>
  <c r="CU46" i="28"/>
  <c r="CV46" i="28"/>
  <c r="CW46" i="28"/>
  <c r="CX46" i="28"/>
  <c r="CY46" i="28"/>
  <c r="CZ46" i="28"/>
  <c r="DA46" i="28"/>
  <c r="DB46" i="28"/>
  <c r="DC46" i="28"/>
  <c r="DD46" i="28"/>
  <c r="DE46" i="28"/>
  <c r="DF46" i="28"/>
  <c r="DG46" i="28"/>
  <c r="DH46" i="28"/>
  <c r="DI46" i="28"/>
  <c r="DJ46" i="28"/>
  <c r="DK46" i="28"/>
  <c r="DL46" i="28"/>
  <c r="DM46" i="28"/>
  <c r="DN46" i="28"/>
  <c r="DO46" i="28"/>
  <c r="DP46" i="28"/>
  <c r="DQ46" i="28"/>
  <c r="DR46" i="28"/>
  <c r="DS46" i="28"/>
  <c r="DT46" i="28"/>
  <c r="DU46" i="28"/>
  <c r="DV46" i="28"/>
  <c r="DW46" i="28"/>
  <c r="DX46" i="28"/>
  <c r="DY46" i="28"/>
  <c r="DZ46" i="28"/>
  <c r="EA46" i="28"/>
  <c r="EB46" i="28"/>
  <c r="EC46" i="28"/>
  <c r="ED46" i="28"/>
  <c r="EE46" i="28"/>
  <c r="EF46" i="28"/>
  <c r="EG46" i="28"/>
  <c r="EH46" i="28"/>
  <c r="EI46" i="28"/>
  <c r="EJ46" i="28"/>
  <c r="EK46" i="28"/>
  <c r="EL46" i="28"/>
  <c r="EM46" i="28"/>
  <c r="EN46" i="28"/>
  <c r="EO46" i="28"/>
  <c r="EP46" i="28"/>
  <c r="EQ46" i="28"/>
  <c r="ER46" i="28"/>
  <c r="ES46" i="28"/>
  <c r="ET46" i="28"/>
  <c r="EU46" i="28"/>
  <c r="EV46" i="28"/>
  <c r="EW46" i="28"/>
  <c r="EX46" i="28"/>
  <c r="EY46" i="28"/>
  <c r="EZ46" i="28"/>
  <c r="FA46" i="28"/>
  <c r="FB46" i="28"/>
  <c r="FC46" i="28"/>
  <c r="FD46" i="28"/>
  <c r="FE46" i="28"/>
  <c r="FF46" i="28"/>
  <c r="FG46" i="28"/>
  <c r="FH46" i="28"/>
  <c r="FI46" i="28"/>
  <c r="FJ46" i="28"/>
  <c r="FK46" i="28"/>
  <c r="FL46" i="28"/>
  <c r="FM46" i="28"/>
  <c r="FN46" i="28"/>
  <c r="FO46" i="28"/>
  <c r="FP46" i="28"/>
  <c r="FQ46" i="28"/>
  <c r="FR46" i="28"/>
  <c r="FS46" i="28"/>
  <c r="FT46" i="28"/>
  <c r="FU46" i="28"/>
  <c r="FV46" i="28"/>
  <c r="FW46" i="28"/>
  <c r="FX46" i="28"/>
  <c r="FY46" i="28"/>
  <c r="FZ46" i="28"/>
  <c r="GA46" i="28"/>
  <c r="GB46" i="28"/>
  <c r="GC46" i="28"/>
  <c r="GD46" i="28"/>
  <c r="GE46" i="28"/>
  <c r="GF46" i="28"/>
  <c r="GG46" i="28"/>
  <c r="GH46" i="28"/>
  <c r="GI46" i="28"/>
  <c r="GJ46" i="28"/>
  <c r="GK46" i="28"/>
  <c r="GL46" i="28"/>
  <c r="GM46" i="28"/>
  <c r="GN46" i="28"/>
  <c r="GO46" i="28"/>
  <c r="GP46" i="28"/>
  <c r="GQ46" i="28"/>
  <c r="GR46" i="28"/>
  <c r="GS46" i="28"/>
  <c r="GT46" i="28"/>
  <c r="GU46" i="28"/>
  <c r="GV46" i="28"/>
  <c r="GW46" i="28"/>
  <c r="GX46" i="28"/>
  <c r="GY46" i="28"/>
  <c r="GZ46" i="28"/>
  <c r="HA46" i="28"/>
  <c r="HB46" i="28"/>
  <c r="HC46" i="28"/>
  <c r="HD46" i="28"/>
  <c r="HE46" i="28"/>
  <c r="HF46" i="28"/>
  <c r="HG46" i="28"/>
  <c r="HH46" i="28"/>
  <c r="HI46" i="28"/>
  <c r="HJ46" i="28"/>
  <c r="HK46" i="28"/>
  <c r="HL46" i="28"/>
  <c r="HM46" i="28"/>
  <c r="HN46" i="28"/>
  <c r="HO46" i="28"/>
  <c r="HP46" i="28"/>
  <c r="HQ46" i="28"/>
  <c r="HR46" i="28"/>
  <c r="HS46" i="28"/>
  <c r="HT46" i="28"/>
  <c r="HU46" i="28"/>
  <c r="HV46" i="28"/>
  <c r="HW46" i="28"/>
  <c r="HX46" i="28"/>
  <c r="HY46" i="28"/>
  <c r="HZ46" i="28"/>
  <c r="IA46" i="28"/>
  <c r="IB46" i="28"/>
  <c r="IC46" i="28"/>
  <c r="ID46" i="28"/>
  <c r="IE46" i="28"/>
  <c r="IF46" i="28"/>
  <c r="IG46" i="28"/>
  <c r="IH46" i="28"/>
  <c r="II46" i="28"/>
  <c r="IJ46" i="28"/>
  <c r="IK46" i="28"/>
  <c r="IL46" i="28"/>
  <c r="IM46" i="28"/>
  <c r="IN46" i="28"/>
  <c r="IO46" i="28"/>
  <c r="IP46" i="28"/>
  <c r="IQ46" i="28"/>
  <c r="IR46" i="28"/>
  <c r="IS46" i="28"/>
  <c r="IT46" i="28"/>
  <c r="IU46" i="28"/>
  <c r="IV46" i="28"/>
  <c r="A45" i="28"/>
  <c r="B45" i="28"/>
  <c r="C45" i="28"/>
  <c r="D45" i="28"/>
  <c r="E45" i="28"/>
  <c r="F45" i="28"/>
  <c r="G45" i="28"/>
  <c r="H45" i="28"/>
  <c r="I45" i="28"/>
  <c r="J45" i="28"/>
  <c r="K45" i="28"/>
  <c r="L45" i="28"/>
  <c r="M45" i="28"/>
  <c r="N45" i="28"/>
  <c r="O45" i="28"/>
  <c r="P45" i="28"/>
  <c r="Q45" i="28"/>
  <c r="R45" i="28"/>
  <c r="S45" i="28"/>
  <c r="T45" i="28"/>
  <c r="U45" i="28"/>
  <c r="V45" i="28"/>
  <c r="W45" i="28"/>
  <c r="X45" i="28"/>
  <c r="Y45" i="28"/>
  <c r="Z45" i="28"/>
  <c r="AA45" i="28"/>
  <c r="AB45" i="28"/>
  <c r="AC45" i="28"/>
  <c r="AD45" i="28"/>
  <c r="AE45" i="28"/>
  <c r="AF45" i="28"/>
  <c r="AG45" i="28"/>
  <c r="AH45" i="28"/>
  <c r="AI45" i="28"/>
  <c r="AJ45" i="28"/>
  <c r="AK45" i="28"/>
  <c r="AL45" i="28"/>
  <c r="AM45" i="28"/>
  <c r="AN45" i="28"/>
  <c r="AO45" i="28"/>
  <c r="AP45" i="28"/>
  <c r="AQ45" i="28"/>
  <c r="AR45" i="28"/>
  <c r="AS45" i="28"/>
  <c r="AT45" i="28"/>
  <c r="AU45" i="28"/>
  <c r="AV45" i="28"/>
  <c r="AW45" i="28"/>
  <c r="AX45" i="28"/>
  <c r="AY45" i="28"/>
  <c r="AZ45" i="28"/>
  <c r="BA45" i="28"/>
  <c r="BB45" i="28"/>
  <c r="BC45" i="28"/>
  <c r="BD45" i="28"/>
  <c r="BE45" i="28"/>
  <c r="BF45" i="28"/>
  <c r="BG45" i="28"/>
  <c r="BH45" i="28"/>
  <c r="BI45" i="28"/>
  <c r="BJ45" i="28"/>
  <c r="BK45" i="28"/>
  <c r="BL45" i="28"/>
  <c r="BM45" i="28"/>
  <c r="BN45" i="28"/>
  <c r="BO45" i="28"/>
  <c r="BP45" i="28"/>
  <c r="BQ45" i="28"/>
  <c r="BR45" i="28"/>
  <c r="BS45" i="28"/>
  <c r="BT45" i="28"/>
  <c r="BU45" i="28"/>
  <c r="BV45" i="28"/>
  <c r="BW45" i="28"/>
  <c r="BX45" i="28"/>
  <c r="BY45" i="28"/>
  <c r="BZ45" i="28"/>
  <c r="CA45" i="28"/>
  <c r="CB45" i="28"/>
  <c r="CC45" i="28"/>
  <c r="CD45" i="28"/>
  <c r="CE45" i="28"/>
  <c r="CF45" i="28"/>
  <c r="CG45" i="28"/>
  <c r="CH45" i="28"/>
  <c r="CI45" i="28"/>
  <c r="CJ45" i="28"/>
  <c r="CK45" i="28"/>
  <c r="CL45" i="28"/>
  <c r="CM45" i="28"/>
  <c r="CN45" i="28"/>
  <c r="CO45" i="28"/>
  <c r="CP45" i="28"/>
  <c r="CQ45" i="28"/>
  <c r="CR45" i="28"/>
  <c r="CS45" i="28"/>
  <c r="CT45" i="28"/>
  <c r="CU45" i="28"/>
  <c r="CV45" i="28"/>
  <c r="CW45" i="28"/>
  <c r="CX45" i="28"/>
  <c r="CY45" i="28"/>
  <c r="CZ45" i="28"/>
  <c r="DA45" i="28"/>
  <c r="DB45" i="28"/>
  <c r="DC45" i="28"/>
  <c r="DD45" i="28"/>
  <c r="DE45" i="28"/>
  <c r="DF45" i="28"/>
  <c r="DG45" i="28"/>
  <c r="DH45" i="28"/>
  <c r="DI45" i="28"/>
  <c r="DJ45" i="28"/>
  <c r="DK45" i="28"/>
  <c r="DL45" i="28"/>
  <c r="DM45" i="28"/>
  <c r="DN45" i="28"/>
  <c r="DO45" i="28"/>
  <c r="DP45" i="28"/>
  <c r="DQ45" i="28"/>
  <c r="DR45" i="28"/>
  <c r="DS45" i="28"/>
  <c r="DT45" i="28"/>
  <c r="DU45" i="28"/>
  <c r="DV45" i="28"/>
  <c r="DW45" i="28"/>
  <c r="DX45" i="28"/>
  <c r="DY45" i="28"/>
  <c r="DZ45" i="28"/>
  <c r="EA45" i="28"/>
  <c r="EB45" i="28"/>
  <c r="EC45" i="28"/>
  <c r="ED45" i="28"/>
  <c r="EE45" i="28"/>
  <c r="EF45" i="28"/>
  <c r="EG45" i="28"/>
  <c r="EH45" i="28"/>
  <c r="EI45" i="28"/>
  <c r="EJ45" i="28"/>
  <c r="EK45" i="28"/>
  <c r="EL45" i="28"/>
  <c r="EM45" i="28"/>
  <c r="EN45" i="28"/>
  <c r="EO45" i="28"/>
  <c r="EP45" i="28"/>
  <c r="EQ45" i="28"/>
  <c r="ER45" i="28"/>
  <c r="ES45" i="28"/>
  <c r="ET45" i="28"/>
  <c r="EU45" i="28"/>
  <c r="EV45" i="28"/>
  <c r="EW45" i="28"/>
  <c r="EX45" i="28"/>
  <c r="EY45" i="28"/>
  <c r="EZ45" i="28"/>
  <c r="FA45" i="28"/>
  <c r="FB45" i="28"/>
  <c r="FC45" i="28"/>
  <c r="FD45" i="28"/>
  <c r="FE45" i="28"/>
  <c r="FF45" i="28"/>
  <c r="FG45" i="28"/>
  <c r="FH45" i="28"/>
  <c r="FI45" i="28"/>
  <c r="FJ45" i="28"/>
  <c r="FK45" i="28"/>
  <c r="FL45" i="28"/>
  <c r="FM45" i="28"/>
  <c r="FN45" i="28"/>
  <c r="FO45" i="28"/>
  <c r="FP45" i="28"/>
  <c r="FQ45" i="28"/>
  <c r="FR45" i="28"/>
  <c r="FS45" i="28"/>
  <c r="FT45" i="28"/>
  <c r="FU45" i="28"/>
  <c r="FV45" i="28"/>
  <c r="FW45" i="28"/>
  <c r="FX45" i="28"/>
  <c r="FY45" i="28"/>
  <c r="FZ45" i="28"/>
  <c r="GA45" i="28"/>
  <c r="GB45" i="28"/>
  <c r="GC45" i="28"/>
  <c r="GD45" i="28"/>
  <c r="GE45" i="28"/>
  <c r="GF45" i="28"/>
  <c r="GG45" i="28"/>
  <c r="GH45" i="28"/>
  <c r="GI45" i="28"/>
  <c r="GJ45" i="28"/>
  <c r="GK45" i="28"/>
  <c r="GL45" i="28"/>
  <c r="GM45" i="28"/>
  <c r="GN45" i="28"/>
  <c r="GO45" i="28"/>
  <c r="GP45" i="28"/>
  <c r="GQ45" i="28"/>
  <c r="GR45" i="28"/>
  <c r="GS45" i="28"/>
  <c r="GT45" i="28"/>
  <c r="GU45" i="28"/>
  <c r="GV45" i="28"/>
  <c r="GW45" i="28"/>
  <c r="GX45" i="28"/>
  <c r="GY45" i="28"/>
  <c r="GZ45" i="28"/>
  <c r="HA45" i="28"/>
  <c r="HB45" i="28"/>
  <c r="HC45" i="28"/>
  <c r="HD45" i="28"/>
  <c r="HE45" i="28"/>
  <c r="HF45" i="28"/>
  <c r="HG45" i="28"/>
  <c r="HH45" i="28"/>
  <c r="HI45" i="28"/>
  <c r="HJ45" i="28"/>
  <c r="HK45" i="28"/>
  <c r="HL45" i="28"/>
  <c r="HM45" i="28"/>
  <c r="HN45" i="28"/>
  <c r="HO45" i="28"/>
  <c r="HP45" i="28"/>
  <c r="HQ45" i="28"/>
  <c r="HR45" i="28"/>
  <c r="HS45" i="28"/>
  <c r="HT45" i="28"/>
  <c r="HU45" i="28"/>
  <c r="HV45" i="28"/>
  <c r="HW45" i="28"/>
  <c r="HX45" i="28"/>
  <c r="HY45" i="28"/>
  <c r="HZ45" i="28"/>
  <c r="IA45" i="28"/>
  <c r="IB45" i="28"/>
  <c r="IC45" i="28"/>
  <c r="ID45" i="28"/>
  <c r="IE45" i="28"/>
  <c r="IF45" i="28"/>
  <c r="IG45" i="28"/>
  <c r="IH45" i="28"/>
  <c r="II45" i="28"/>
  <c r="IJ45" i="28"/>
  <c r="IK45" i="28"/>
  <c r="IL45" i="28"/>
  <c r="IM45" i="28"/>
  <c r="IN45" i="28"/>
  <c r="IO45" i="28"/>
  <c r="IP45" i="28"/>
  <c r="IQ45" i="28"/>
  <c r="IR45" i="28"/>
  <c r="IS45" i="28"/>
  <c r="IT45" i="28"/>
  <c r="IU45" i="28"/>
  <c r="IV45" i="28"/>
  <c r="A44" i="28"/>
  <c r="B44" i="28"/>
  <c r="C44" i="28"/>
  <c r="D44" i="28"/>
  <c r="E44" i="28"/>
  <c r="F44" i="28"/>
  <c r="G44" i="28"/>
  <c r="H44" i="28"/>
  <c r="I44" i="28"/>
  <c r="J44" i="28"/>
  <c r="K44" i="28"/>
  <c r="L44" i="28"/>
  <c r="M44" i="28"/>
  <c r="N44" i="28"/>
  <c r="O44" i="28"/>
  <c r="P44" i="28"/>
  <c r="Q44" i="28"/>
  <c r="R44" i="28"/>
  <c r="S44" i="28"/>
  <c r="T44" i="28"/>
  <c r="U44" i="28"/>
  <c r="V44" i="28"/>
  <c r="W44" i="28"/>
  <c r="X44" i="28"/>
  <c r="Y44" i="28"/>
  <c r="Z44" i="28"/>
  <c r="AA44" i="28"/>
  <c r="AB44" i="28"/>
  <c r="AC44" i="28"/>
  <c r="AD44" i="28"/>
  <c r="AE44" i="28"/>
  <c r="AF44" i="28"/>
  <c r="AG44" i="28"/>
  <c r="AH44" i="28"/>
  <c r="AI44" i="28"/>
  <c r="AJ44" i="28"/>
  <c r="AK44" i="28"/>
  <c r="AL44" i="28"/>
  <c r="AM44" i="28"/>
  <c r="AN44" i="28"/>
  <c r="AO44" i="28"/>
  <c r="AP44" i="28"/>
  <c r="AQ44" i="28"/>
  <c r="AR44" i="28"/>
  <c r="AS44" i="28"/>
  <c r="AT44" i="28"/>
  <c r="AU44" i="28"/>
  <c r="AV44" i="28"/>
  <c r="AW44" i="28"/>
  <c r="AX44" i="28"/>
  <c r="AY44" i="28"/>
  <c r="AZ44" i="28"/>
  <c r="BA44" i="28"/>
  <c r="BB44" i="28"/>
  <c r="BC44" i="28"/>
  <c r="BD44" i="28"/>
  <c r="BE44" i="28"/>
  <c r="BF44" i="28"/>
  <c r="BG44" i="28"/>
  <c r="BH44" i="28"/>
  <c r="BI44" i="28"/>
  <c r="BJ44" i="28"/>
  <c r="BK44" i="28"/>
  <c r="BL44" i="28"/>
  <c r="BM44" i="28"/>
  <c r="BN44" i="28"/>
  <c r="BO44" i="28"/>
  <c r="BP44" i="28"/>
  <c r="BQ44" i="28"/>
  <c r="BR44" i="28"/>
  <c r="BS44" i="28"/>
  <c r="BT44" i="28"/>
  <c r="BU44" i="28"/>
  <c r="BV44" i="28"/>
  <c r="BW44" i="28"/>
  <c r="BX44" i="28"/>
  <c r="BY44" i="28"/>
  <c r="BZ44" i="28"/>
  <c r="CA44" i="28"/>
  <c r="CB44" i="28"/>
  <c r="CC44" i="28"/>
  <c r="CD44" i="28"/>
  <c r="CE44" i="28"/>
  <c r="CF44" i="28"/>
  <c r="CG44" i="28"/>
  <c r="CH44" i="28"/>
  <c r="CI44" i="28"/>
  <c r="CJ44" i="28"/>
  <c r="CK44" i="28"/>
  <c r="CL44" i="28"/>
  <c r="CM44" i="28"/>
  <c r="CN44" i="28"/>
  <c r="CO44" i="28"/>
  <c r="CP44" i="28"/>
  <c r="CQ44" i="28"/>
  <c r="CR44" i="28"/>
  <c r="CS44" i="28"/>
  <c r="CT44" i="28"/>
  <c r="CU44" i="28"/>
  <c r="CV44" i="28"/>
  <c r="CW44" i="28"/>
  <c r="CX44" i="28"/>
  <c r="CY44" i="28"/>
  <c r="CZ44" i="28"/>
  <c r="DA44" i="28"/>
  <c r="DB44" i="28"/>
  <c r="DC44" i="28"/>
  <c r="DD44" i="28"/>
  <c r="DE44" i="28"/>
  <c r="DF44" i="28"/>
  <c r="DG44" i="28"/>
  <c r="DH44" i="28"/>
  <c r="DI44" i="28"/>
  <c r="DJ44" i="28"/>
  <c r="DK44" i="28"/>
  <c r="DL44" i="28"/>
  <c r="DM44" i="28"/>
  <c r="DN44" i="28"/>
  <c r="DO44" i="28"/>
  <c r="DP44" i="28"/>
  <c r="DQ44" i="28"/>
  <c r="DR44" i="28"/>
  <c r="DS44" i="28"/>
  <c r="DT44" i="28"/>
  <c r="DU44" i="28"/>
  <c r="DV44" i="28"/>
  <c r="DW44" i="28"/>
  <c r="DX44" i="28"/>
  <c r="DY44" i="28"/>
  <c r="DZ44" i="28"/>
  <c r="EA44" i="28"/>
  <c r="EB44" i="28"/>
  <c r="EC44" i="28"/>
  <c r="ED44" i="28"/>
  <c r="EE44" i="28"/>
  <c r="EF44" i="28"/>
  <c r="EG44" i="28"/>
  <c r="EH44" i="28"/>
  <c r="EI44" i="28"/>
  <c r="EJ44" i="28"/>
  <c r="EK44" i="28"/>
  <c r="EL44" i="28"/>
  <c r="EM44" i="28"/>
  <c r="EN44" i="28"/>
  <c r="EO44" i="28"/>
  <c r="EP44" i="28"/>
  <c r="EQ44" i="28"/>
  <c r="ER44" i="28"/>
  <c r="ES44" i="28"/>
  <c r="ET44" i="28"/>
  <c r="EU44" i="28"/>
  <c r="EV44" i="28"/>
  <c r="EW44" i="28"/>
  <c r="EX44" i="28"/>
  <c r="EY44" i="28"/>
  <c r="EZ44" i="28"/>
  <c r="FA44" i="28"/>
  <c r="FB44" i="28"/>
  <c r="FC44" i="28"/>
  <c r="FD44" i="28"/>
  <c r="FE44" i="28"/>
  <c r="FF44" i="28"/>
  <c r="FG44" i="28"/>
  <c r="FH44" i="28"/>
  <c r="FI44" i="28"/>
  <c r="FJ44" i="28"/>
  <c r="FK44" i="28"/>
  <c r="FL44" i="28"/>
  <c r="FM44" i="28"/>
  <c r="FN44" i="28"/>
  <c r="FO44" i="28"/>
  <c r="FP44" i="28"/>
  <c r="FQ44" i="28"/>
  <c r="FR44" i="28"/>
  <c r="FS44" i="28"/>
  <c r="FT44" i="28"/>
  <c r="FU44" i="28"/>
  <c r="FV44" i="28"/>
  <c r="FW44" i="28"/>
  <c r="FX44" i="28"/>
  <c r="FY44" i="28"/>
  <c r="FZ44" i="28"/>
  <c r="GA44" i="28"/>
  <c r="GB44" i="28"/>
  <c r="GC44" i="28"/>
  <c r="GD44" i="28"/>
  <c r="GE44" i="28"/>
  <c r="GF44" i="28"/>
  <c r="GG44" i="28"/>
  <c r="GH44" i="28"/>
  <c r="GI44" i="28"/>
  <c r="GJ44" i="28"/>
  <c r="GK44" i="28"/>
  <c r="GL44" i="28"/>
  <c r="GM44" i="28"/>
  <c r="GN44" i="28"/>
  <c r="GO44" i="28"/>
  <c r="GP44" i="28"/>
  <c r="GQ44" i="28"/>
  <c r="GR44" i="28"/>
  <c r="GS44" i="28"/>
  <c r="GT44" i="28"/>
  <c r="GU44" i="28"/>
  <c r="GV44" i="28"/>
  <c r="GW44" i="28"/>
  <c r="GX44" i="28"/>
  <c r="GY44" i="28"/>
  <c r="GZ44" i="28"/>
  <c r="HA44" i="28"/>
  <c r="HB44" i="28"/>
  <c r="HC44" i="28"/>
  <c r="HD44" i="28"/>
  <c r="HE44" i="28"/>
  <c r="HF44" i="28"/>
  <c r="HG44" i="28"/>
  <c r="HH44" i="28"/>
  <c r="HI44" i="28"/>
  <c r="HJ44" i="28"/>
  <c r="HK44" i="28"/>
  <c r="HL44" i="28"/>
  <c r="HM44" i="28"/>
  <c r="HN44" i="28"/>
  <c r="HO44" i="28"/>
  <c r="HP44" i="28"/>
  <c r="HQ44" i="28"/>
  <c r="HR44" i="28"/>
  <c r="HS44" i="28"/>
  <c r="HT44" i="28"/>
  <c r="HU44" i="28"/>
  <c r="HV44" i="28"/>
  <c r="HW44" i="28"/>
  <c r="HX44" i="28"/>
  <c r="HY44" i="28"/>
  <c r="HZ44" i="28"/>
  <c r="IA44" i="28"/>
  <c r="IB44" i="28"/>
  <c r="IC44" i="28"/>
  <c r="ID44" i="28"/>
  <c r="IE44" i="28"/>
  <c r="IF44" i="28"/>
  <c r="IG44" i="28"/>
  <c r="IH44" i="28"/>
  <c r="II44" i="28"/>
  <c r="IJ44" i="28"/>
  <c r="IK44" i="28"/>
  <c r="IL44" i="28"/>
  <c r="IM44" i="28"/>
  <c r="IN44" i="28"/>
  <c r="IO44" i="28"/>
  <c r="IP44" i="28"/>
  <c r="IQ44" i="28"/>
  <c r="IR44" i="28"/>
  <c r="IS44" i="28"/>
  <c r="IT44" i="28"/>
  <c r="IU44" i="28"/>
  <c r="IV44" i="28"/>
  <c r="A43" i="28"/>
  <c r="B43" i="28"/>
  <c r="C43" i="28"/>
  <c r="D43" i="28"/>
  <c r="E43" i="28"/>
  <c r="F43" i="28"/>
  <c r="G43" i="28"/>
  <c r="H43" i="28"/>
  <c r="I43" i="28"/>
  <c r="J43" i="28"/>
  <c r="K43" i="28"/>
  <c r="L43" i="28"/>
  <c r="M43" i="28"/>
  <c r="N43" i="28"/>
  <c r="O43" i="28"/>
  <c r="P43" i="28"/>
  <c r="Q43" i="28"/>
  <c r="R43" i="28"/>
  <c r="S43" i="28"/>
  <c r="T43" i="28"/>
  <c r="U43" i="28"/>
  <c r="V43" i="28"/>
  <c r="W43" i="28"/>
  <c r="X43" i="28"/>
  <c r="Y43" i="28"/>
  <c r="Z43" i="28"/>
  <c r="AA43" i="28"/>
  <c r="AB43" i="28"/>
  <c r="AC43" i="28"/>
  <c r="AD43" i="28"/>
  <c r="AE43" i="28"/>
  <c r="AF43" i="28"/>
  <c r="AG43" i="28"/>
  <c r="AH43" i="28"/>
  <c r="AI43" i="28"/>
  <c r="AJ43" i="28"/>
  <c r="AK43" i="28"/>
  <c r="AL43" i="28"/>
  <c r="AM43" i="28"/>
  <c r="AN43" i="28"/>
  <c r="AO43" i="28"/>
  <c r="AP43" i="28"/>
  <c r="AQ43" i="28"/>
  <c r="AR43" i="28"/>
  <c r="AS43" i="28"/>
  <c r="AT43" i="28"/>
  <c r="AU43" i="28"/>
  <c r="AV43" i="28"/>
  <c r="AW43" i="28"/>
  <c r="AX43" i="28"/>
  <c r="AY43" i="28"/>
  <c r="AZ43" i="28"/>
  <c r="BA43" i="28"/>
  <c r="BB43" i="28"/>
  <c r="BC43" i="28"/>
  <c r="BD43" i="28"/>
  <c r="BE43" i="28"/>
  <c r="BF43" i="28"/>
  <c r="BG43" i="28"/>
  <c r="BH43" i="28"/>
  <c r="BI43" i="28"/>
  <c r="BJ43" i="28"/>
  <c r="BK43" i="28"/>
  <c r="BL43" i="28"/>
  <c r="BM43" i="28"/>
  <c r="BN43" i="28"/>
  <c r="BO43" i="28"/>
  <c r="BP43" i="28"/>
  <c r="BQ43" i="28"/>
  <c r="BR43" i="28"/>
  <c r="BS43" i="28"/>
  <c r="BT43" i="28"/>
  <c r="BU43" i="28"/>
  <c r="BV43" i="28"/>
  <c r="BW43" i="28"/>
  <c r="BX43" i="28"/>
  <c r="BY43" i="28"/>
  <c r="BZ43" i="28"/>
  <c r="CA43" i="28"/>
  <c r="CB43" i="28"/>
  <c r="CC43" i="28"/>
  <c r="CD43" i="28"/>
  <c r="CE43" i="28"/>
  <c r="CF43" i="28"/>
  <c r="CG43" i="28"/>
  <c r="CH43" i="28"/>
  <c r="CI43" i="28"/>
  <c r="CJ43" i="28"/>
  <c r="CK43" i="28"/>
  <c r="CL43" i="28"/>
  <c r="CM43" i="28"/>
  <c r="CN43" i="28"/>
  <c r="CO43" i="28"/>
  <c r="CP43" i="28"/>
  <c r="CQ43" i="28"/>
  <c r="CR43" i="28"/>
  <c r="CS43" i="28"/>
  <c r="CT43" i="28"/>
  <c r="CU43" i="28"/>
  <c r="CV43" i="28"/>
  <c r="CW43" i="28"/>
  <c r="CX43" i="28"/>
  <c r="CY43" i="28"/>
  <c r="CZ43" i="28"/>
  <c r="DA43" i="28"/>
  <c r="DB43" i="28"/>
  <c r="DC43" i="28"/>
  <c r="DD43" i="28"/>
  <c r="DE43" i="28"/>
  <c r="DF43" i="28"/>
  <c r="DG43" i="28"/>
  <c r="DH43" i="28"/>
  <c r="DI43" i="28"/>
  <c r="DJ43" i="28"/>
  <c r="DK43" i="28"/>
  <c r="DL43" i="28"/>
  <c r="DM43" i="28"/>
  <c r="DN43" i="28"/>
  <c r="DO43" i="28"/>
  <c r="DP43" i="28"/>
  <c r="DQ43" i="28"/>
  <c r="DR43" i="28"/>
  <c r="DS43" i="28"/>
  <c r="DT43" i="28"/>
  <c r="DU43" i="28"/>
  <c r="DV43" i="28"/>
  <c r="DW43" i="28"/>
  <c r="DX43" i="28"/>
  <c r="DY43" i="28"/>
  <c r="DZ43" i="28"/>
  <c r="EA43" i="28"/>
  <c r="EB43" i="28"/>
  <c r="EC43" i="28"/>
  <c r="ED43" i="28"/>
  <c r="EE43" i="28"/>
  <c r="EF43" i="28"/>
  <c r="EG43" i="28"/>
  <c r="EH43" i="28"/>
  <c r="EI43" i="28"/>
  <c r="EJ43" i="28"/>
  <c r="EK43" i="28"/>
  <c r="EL43" i="28"/>
  <c r="EM43" i="28"/>
  <c r="EN43" i="28"/>
  <c r="EO43" i="28"/>
  <c r="EP43" i="28"/>
  <c r="EQ43" i="28"/>
  <c r="ER43" i="28"/>
  <c r="ES43" i="28"/>
  <c r="ET43" i="28"/>
  <c r="EU43" i="28"/>
  <c r="EV43" i="28"/>
  <c r="EW43" i="28"/>
  <c r="EX43" i="28"/>
  <c r="EY43" i="28"/>
  <c r="EZ43" i="28"/>
  <c r="FA43" i="28"/>
  <c r="FB43" i="28"/>
  <c r="FC43" i="28"/>
  <c r="FD43" i="28"/>
  <c r="FE43" i="28"/>
  <c r="FF43" i="28"/>
  <c r="FG43" i="28"/>
  <c r="FH43" i="28"/>
  <c r="FI43" i="28"/>
  <c r="FJ43" i="28"/>
  <c r="FK43" i="28"/>
  <c r="FL43" i="28"/>
  <c r="FM43" i="28"/>
  <c r="FN43" i="28"/>
  <c r="FO43" i="28"/>
  <c r="FP43" i="28"/>
  <c r="FQ43" i="28"/>
  <c r="FR43" i="28"/>
  <c r="FS43" i="28"/>
  <c r="FT43" i="28"/>
  <c r="FU43" i="28"/>
  <c r="FV43" i="28"/>
  <c r="FW43" i="28"/>
  <c r="FX43" i="28"/>
  <c r="FY43" i="28"/>
  <c r="FZ43" i="28"/>
  <c r="GA43" i="28"/>
  <c r="GB43" i="28"/>
  <c r="GC43" i="28"/>
  <c r="GD43" i="28"/>
  <c r="GE43" i="28"/>
  <c r="GF43" i="28"/>
  <c r="GG43" i="28"/>
  <c r="GH43" i="28"/>
  <c r="GI43" i="28"/>
  <c r="GJ43" i="28"/>
  <c r="GK43" i="28"/>
  <c r="GL43" i="28"/>
  <c r="GM43" i="28"/>
  <c r="GN43" i="28"/>
  <c r="GO43" i="28"/>
  <c r="GP43" i="28"/>
  <c r="GQ43" i="28"/>
  <c r="GR43" i="28"/>
  <c r="GS43" i="28"/>
  <c r="GT43" i="28"/>
  <c r="GU43" i="28"/>
  <c r="GV43" i="28"/>
  <c r="GW43" i="28"/>
  <c r="GX43" i="28"/>
  <c r="GY43" i="28"/>
  <c r="GZ43" i="28"/>
  <c r="HA43" i="28"/>
  <c r="HB43" i="28"/>
  <c r="HC43" i="28"/>
  <c r="HD43" i="28"/>
  <c r="HE43" i="28"/>
  <c r="HF43" i="28"/>
  <c r="HG43" i="28"/>
  <c r="HH43" i="28"/>
  <c r="HI43" i="28"/>
  <c r="HJ43" i="28"/>
  <c r="HK43" i="28"/>
  <c r="HL43" i="28"/>
  <c r="HM43" i="28"/>
  <c r="HN43" i="28"/>
  <c r="HO43" i="28"/>
  <c r="HP43" i="28"/>
  <c r="HQ43" i="28"/>
  <c r="HR43" i="28"/>
  <c r="HS43" i="28"/>
  <c r="HT43" i="28"/>
  <c r="HU43" i="28"/>
  <c r="HV43" i="28"/>
  <c r="HW43" i="28"/>
  <c r="HX43" i="28"/>
  <c r="HY43" i="28"/>
  <c r="HZ43" i="28"/>
  <c r="IA43" i="28"/>
  <c r="IB43" i="28"/>
  <c r="IC43" i="28"/>
  <c r="ID43" i="28"/>
  <c r="IE43" i="28"/>
  <c r="IF43" i="28"/>
  <c r="IG43" i="28"/>
  <c r="IH43" i="28"/>
  <c r="II43" i="28"/>
  <c r="IJ43" i="28"/>
  <c r="IK43" i="28"/>
  <c r="IL43" i="28"/>
  <c r="IM43" i="28"/>
  <c r="IN43" i="28"/>
  <c r="IO43" i="28"/>
  <c r="IP43" i="28"/>
  <c r="IQ43" i="28"/>
  <c r="IR43" i="28"/>
  <c r="IS43" i="28"/>
  <c r="IT43" i="28"/>
  <c r="IU43" i="28"/>
  <c r="IV43" i="28"/>
  <c r="A42" i="28"/>
  <c r="B42" i="28"/>
  <c r="C42" i="28"/>
  <c r="D42" i="28"/>
  <c r="E42" i="28"/>
  <c r="F42" i="28"/>
  <c r="G42" i="28"/>
  <c r="H42" i="28"/>
  <c r="I42" i="28"/>
  <c r="J42" i="28"/>
  <c r="K42" i="28"/>
  <c r="L42" i="28"/>
  <c r="M42" i="28"/>
  <c r="N42" i="28"/>
  <c r="O42" i="28"/>
  <c r="P42" i="28"/>
  <c r="Q42" i="28"/>
  <c r="R42" i="28"/>
  <c r="S42" i="28"/>
  <c r="T42" i="28"/>
  <c r="U42" i="28"/>
  <c r="V42" i="28"/>
  <c r="W42" i="28"/>
  <c r="X42" i="28"/>
  <c r="Y42" i="28"/>
  <c r="Z42" i="28"/>
  <c r="AA42" i="28"/>
  <c r="AB42" i="28"/>
  <c r="AC42" i="28"/>
  <c r="AD42" i="28"/>
  <c r="AE42" i="28"/>
  <c r="AF42" i="28"/>
  <c r="AG42" i="28"/>
  <c r="AH42" i="28"/>
  <c r="AI42" i="28"/>
  <c r="AJ42" i="28"/>
  <c r="AK42" i="28"/>
  <c r="AL42" i="28"/>
  <c r="AM42" i="28"/>
  <c r="AN42" i="28"/>
  <c r="AO42" i="28"/>
  <c r="AP42" i="28"/>
  <c r="AQ42" i="28"/>
  <c r="AR42" i="28"/>
  <c r="AS42" i="28"/>
  <c r="AT42" i="28"/>
  <c r="AU42" i="28"/>
  <c r="AV42" i="28"/>
  <c r="AW42" i="28"/>
  <c r="AX42" i="28"/>
  <c r="AY42" i="28"/>
  <c r="AZ42" i="28"/>
  <c r="BA42" i="28"/>
  <c r="BB42" i="28"/>
  <c r="BC42" i="28"/>
  <c r="BD42" i="28"/>
  <c r="BE42" i="28"/>
  <c r="BF42" i="28"/>
  <c r="BG42" i="28"/>
  <c r="BH42" i="28"/>
  <c r="BI42" i="28"/>
  <c r="BJ42" i="28"/>
  <c r="BK42" i="28"/>
  <c r="BL42" i="28"/>
  <c r="BM42" i="28"/>
  <c r="BN42" i="28"/>
  <c r="BO42" i="28"/>
  <c r="BP42" i="28"/>
  <c r="BQ42" i="28"/>
  <c r="BR42" i="28"/>
  <c r="BS42" i="28"/>
  <c r="BT42" i="28"/>
  <c r="BU42" i="28"/>
  <c r="BV42" i="28"/>
  <c r="BW42" i="28"/>
  <c r="BX42" i="28"/>
  <c r="BY42" i="28"/>
  <c r="BZ42" i="28"/>
  <c r="CA42" i="28"/>
  <c r="CB42" i="28"/>
  <c r="CC42" i="28"/>
  <c r="CD42" i="28"/>
  <c r="CE42" i="28"/>
  <c r="CF42" i="28"/>
  <c r="CG42" i="28"/>
  <c r="CH42" i="28"/>
  <c r="CI42" i="28"/>
  <c r="CJ42" i="28"/>
  <c r="CK42" i="28"/>
  <c r="CL42" i="28"/>
  <c r="CM42" i="28"/>
  <c r="CN42" i="28"/>
  <c r="CO42" i="28"/>
  <c r="CP42" i="28"/>
  <c r="CQ42" i="28"/>
  <c r="CR42" i="28"/>
  <c r="CS42" i="28"/>
  <c r="CT42" i="28"/>
  <c r="CU42" i="28"/>
  <c r="CV42" i="28"/>
  <c r="CW42" i="28"/>
  <c r="CX42" i="28"/>
  <c r="CY42" i="28"/>
  <c r="CZ42" i="28"/>
  <c r="DA42" i="28"/>
  <c r="DB42" i="28"/>
  <c r="DC42" i="28"/>
  <c r="DD42" i="28"/>
  <c r="DE42" i="28"/>
  <c r="DF42" i="28"/>
  <c r="DG42" i="28"/>
  <c r="DH42" i="28"/>
  <c r="DI42" i="28"/>
  <c r="DJ42" i="28"/>
  <c r="DK42" i="28"/>
  <c r="DL42" i="28"/>
  <c r="DM42" i="28"/>
  <c r="DN42" i="28"/>
  <c r="DO42" i="28"/>
  <c r="DP42" i="28"/>
  <c r="DQ42" i="28"/>
  <c r="DR42" i="28"/>
  <c r="DS42" i="28"/>
  <c r="DT42" i="28"/>
  <c r="DU42" i="28"/>
  <c r="DV42" i="28"/>
  <c r="DW42" i="28"/>
  <c r="DX42" i="28"/>
  <c r="DY42" i="28"/>
  <c r="DZ42" i="28"/>
  <c r="EA42" i="28"/>
  <c r="EB42" i="28"/>
  <c r="EC42" i="28"/>
  <c r="ED42" i="28"/>
  <c r="EE42" i="28"/>
  <c r="EF42" i="28"/>
  <c r="EG42" i="28"/>
  <c r="EH42" i="28"/>
  <c r="EI42" i="28"/>
  <c r="EJ42" i="28"/>
  <c r="EK42" i="28"/>
  <c r="EL42" i="28"/>
  <c r="EM42" i="28"/>
  <c r="EN42" i="28"/>
  <c r="EO42" i="28"/>
  <c r="EP42" i="28"/>
  <c r="EQ42" i="28"/>
  <c r="ER42" i="28"/>
  <c r="ES42" i="28"/>
  <c r="ET42" i="28"/>
  <c r="EU42" i="28"/>
  <c r="EV42" i="28"/>
  <c r="EW42" i="28"/>
  <c r="EX42" i="28"/>
  <c r="EY42" i="28"/>
  <c r="EZ42" i="28"/>
  <c r="FA42" i="28"/>
  <c r="FB42" i="28"/>
  <c r="FC42" i="28"/>
  <c r="FD42" i="28"/>
  <c r="FE42" i="28"/>
  <c r="FF42" i="28"/>
  <c r="FG42" i="28"/>
  <c r="FH42" i="28"/>
  <c r="FI42" i="28"/>
  <c r="FJ42" i="28"/>
  <c r="FK42" i="28"/>
  <c r="FL42" i="28"/>
  <c r="FM42" i="28"/>
  <c r="FN42" i="28"/>
  <c r="FO42" i="28"/>
  <c r="FP42" i="28"/>
  <c r="FQ42" i="28"/>
  <c r="FR42" i="28"/>
  <c r="FS42" i="28"/>
  <c r="FT42" i="28"/>
  <c r="FU42" i="28"/>
  <c r="FV42" i="28"/>
  <c r="FW42" i="28"/>
  <c r="FX42" i="28"/>
  <c r="FY42" i="28"/>
  <c r="FZ42" i="28"/>
  <c r="GA42" i="28"/>
  <c r="GB42" i="28"/>
  <c r="GC42" i="28"/>
  <c r="GD42" i="28"/>
  <c r="GE42" i="28"/>
  <c r="GF42" i="28"/>
  <c r="GG42" i="28"/>
  <c r="GH42" i="28"/>
  <c r="GI42" i="28"/>
  <c r="GJ42" i="28"/>
  <c r="GK42" i="28"/>
  <c r="GL42" i="28"/>
  <c r="GM42" i="28"/>
  <c r="GN42" i="28"/>
  <c r="GO42" i="28"/>
  <c r="GP42" i="28"/>
  <c r="GQ42" i="28"/>
  <c r="GR42" i="28"/>
  <c r="GS42" i="28"/>
  <c r="GT42" i="28"/>
  <c r="GU42" i="28"/>
  <c r="GV42" i="28"/>
  <c r="GW42" i="28"/>
  <c r="GX42" i="28"/>
  <c r="GY42" i="28"/>
  <c r="GZ42" i="28"/>
  <c r="HA42" i="28"/>
  <c r="HB42" i="28"/>
  <c r="HC42" i="28"/>
  <c r="HD42" i="28"/>
  <c r="HE42" i="28"/>
  <c r="HF42" i="28"/>
  <c r="HG42" i="28"/>
  <c r="HH42" i="28"/>
  <c r="HI42" i="28"/>
  <c r="HJ42" i="28"/>
  <c r="HK42" i="28"/>
  <c r="HL42" i="28"/>
  <c r="HM42" i="28"/>
  <c r="HN42" i="28"/>
  <c r="HO42" i="28"/>
  <c r="HP42" i="28"/>
  <c r="HQ42" i="28"/>
  <c r="HR42" i="28"/>
  <c r="HS42" i="28"/>
  <c r="HT42" i="28"/>
  <c r="HU42" i="28"/>
  <c r="HV42" i="28"/>
  <c r="HW42" i="28"/>
  <c r="HX42" i="28"/>
  <c r="HY42" i="28"/>
  <c r="HZ42" i="28"/>
  <c r="IA42" i="28"/>
  <c r="IB42" i="28"/>
  <c r="IC42" i="28"/>
  <c r="ID42" i="28"/>
  <c r="IE42" i="28"/>
  <c r="IF42" i="28"/>
  <c r="IG42" i="28"/>
  <c r="IH42" i="28"/>
  <c r="II42" i="28"/>
  <c r="IJ42" i="28"/>
  <c r="IK42" i="28"/>
  <c r="IL42" i="28"/>
  <c r="IM42" i="28"/>
  <c r="IN42" i="28"/>
  <c r="IO42" i="28"/>
  <c r="IP42" i="28"/>
  <c r="IQ42" i="28"/>
  <c r="IR42" i="28"/>
  <c r="IS42" i="28"/>
  <c r="IT42" i="28"/>
  <c r="IU42" i="28"/>
  <c r="IV42" i="28"/>
  <c r="A41" i="28"/>
  <c r="B41" i="28"/>
  <c r="C41" i="28"/>
  <c r="D41" i="28"/>
  <c r="E41" i="28"/>
  <c r="F41" i="28"/>
  <c r="G41" i="28"/>
  <c r="H41" i="28"/>
  <c r="I41" i="28"/>
  <c r="J41" i="28"/>
  <c r="K41" i="28"/>
  <c r="L41" i="28"/>
  <c r="M41" i="28"/>
  <c r="N41" i="28"/>
  <c r="O41" i="28"/>
  <c r="P41" i="28"/>
  <c r="Q41" i="28"/>
  <c r="R41" i="28"/>
  <c r="S41" i="28"/>
  <c r="T41" i="28"/>
  <c r="U41" i="28"/>
  <c r="V41" i="28"/>
  <c r="W41" i="28"/>
  <c r="X41" i="28"/>
  <c r="Y41" i="28"/>
  <c r="Z41" i="28"/>
  <c r="AA41" i="28"/>
  <c r="AB41" i="28"/>
  <c r="AC41" i="28"/>
  <c r="AD41" i="28"/>
  <c r="AE41" i="28"/>
  <c r="AF41" i="28"/>
  <c r="AG41" i="28"/>
  <c r="AH41" i="28"/>
  <c r="AI41" i="28"/>
  <c r="AJ41" i="28"/>
  <c r="AK41" i="28"/>
  <c r="AL41" i="28"/>
  <c r="AM41" i="28"/>
  <c r="AN41" i="28"/>
  <c r="AO41" i="28"/>
  <c r="AP41" i="28"/>
  <c r="AQ41" i="28"/>
  <c r="AR41" i="28"/>
  <c r="AS41" i="28"/>
  <c r="AT41" i="28"/>
  <c r="AU41" i="28"/>
  <c r="AV41" i="28"/>
  <c r="AW41" i="28"/>
  <c r="AX41" i="28"/>
  <c r="AY41" i="28"/>
  <c r="AZ41" i="28"/>
  <c r="BA41" i="28"/>
  <c r="BB41" i="28"/>
  <c r="BC41" i="28"/>
  <c r="BD41" i="28"/>
  <c r="BE41" i="28"/>
  <c r="BF41" i="28"/>
  <c r="BG41" i="28"/>
  <c r="BH41" i="28"/>
  <c r="BI41" i="28"/>
  <c r="BJ41" i="28"/>
  <c r="BK41" i="28"/>
  <c r="BL41" i="28"/>
  <c r="BM41" i="28"/>
  <c r="BN41" i="28"/>
  <c r="BO41" i="28"/>
  <c r="BP41" i="28"/>
  <c r="BQ41" i="28"/>
  <c r="BR41" i="28"/>
  <c r="BS41" i="28"/>
  <c r="BT41" i="28"/>
  <c r="BU41" i="28"/>
  <c r="BV41" i="28"/>
  <c r="BW41" i="28"/>
  <c r="BX41" i="28"/>
  <c r="BY41" i="28"/>
  <c r="BZ41" i="28"/>
  <c r="CA41" i="28"/>
  <c r="CB41" i="28"/>
  <c r="CC41" i="28"/>
  <c r="CD41" i="28"/>
  <c r="CE41" i="28"/>
  <c r="CF41" i="28"/>
  <c r="CG41" i="28"/>
  <c r="CH41" i="28"/>
  <c r="CI41" i="28"/>
  <c r="CJ41" i="28"/>
  <c r="CK41" i="28"/>
  <c r="CL41" i="28"/>
  <c r="CM41" i="28"/>
  <c r="CN41" i="28"/>
  <c r="CO41" i="28"/>
  <c r="CP41" i="28"/>
  <c r="CQ41" i="28"/>
  <c r="CR41" i="28"/>
  <c r="CS41" i="28"/>
  <c r="CT41" i="28"/>
  <c r="CU41" i="28"/>
  <c r="CV41" i="28"/>
  <c r="CW41" i="28"/>
  <c r="CX41" i="28"/>
  <c r="CY41" i="28"/>
  <c r="CZ41" i="28"/>
  <c r="DA41" i="28"/>
  <c r="DB41" i="28"/>
  <c r="DC41" i="28"/>
  <c r="DD41" i="28"/>
  <c r="DE41" i="28"/>
  <c r="DF41" i="28"/>
  <c r="DG41" i="28"/>
  <c r="DH41" i="28"/>
  <c r="DI41" i="28"/>
  <c r="DJ41" i="28"/>
  <c r="DK41" i="28"/>
  <c r="DL41" i="28"/>
  <c r="DM41" i="28"/>
  <c r="DN41" i="28"/>
  <c r="DO41" i="28"/>
  <c r="DP41" i="28"/>
  <c r="DQ41" i="28"/>
  <c r="DR41" i="28"/>
  <c r="DS41" i="28"/>
  <c r="DT41" i="28"/>
  <c r="DU41" i="28"/>
  <c r="DV41" i="28"/>
  <c r="DW41" i="28"/>
  <c r="DX41" i="28"/>
  <c r="DY41" i="28"/>
  <c r="DZ41" i="28"/>
  <c r="EA41" i="28"/>
  <c r="EB41" i="28"/>
  <c r="EC41" i="28"/>
  <c r="ED41" i="28"/>
  <c r="EE41" i="28"/>
  <c r="EF41" i="28"/>
  <c r="EG41" i="28"/>
  <c r="EH41" i="28"/>
  <c r="EI41" i="28"/>
  <c r="EJ41" i="28"/>
  <c r="EK41" i="28"/>
  <c r="EL41" i="28"/>
  <c r="EM41" i="28"/>
  <c r="EN41" i="28"/>
  <c r="EO41" i="28"/>
  <c r="EP41" i="28"/>
  <c r="EQ41" i="28"/>
  <c r="ER41" i="28"/>
  <c r="ES41" i="28"/>
  <c r="ET41" i="28"/>
  <c r="EU41" i="28"/>
  <c r="EV41" i="28"/>
  <c r="EW41" i="28"/>
  <c r="EX41" i="28"/>
  <c r="EY41" i="28"/>
  <c r="EZ41" i="28"/>
  <c r="FA41" i="28"/>
  <c r="FB41" i="28"/>
  <c r="FC41" i="28"/>
  <c r="FD41" i="28"/>
  <c r="FE41" i="28"/>
  <c r="FF41" i="28"/>
  <c r="FG41" i="28"/>
  <c r="FH41" i="28"/>
  <c r="FI41" i="28"/>
  <c r="FJ41" i="28"/>
  <c r="FK41" i="28"/>
  <c r="FL41" i="28"/>
  <c r="FM41" i="28"/>
  <c r="FN41" i="28"/>
  <c r="FO41" i="28"/>
  <c r="FP41" i="28"/>
  <c r="FQ41" i="28"/>
  <c r="FR41" i="28"/>
  <c r="FS41" i="28"/>
  <c r="FT41" i="28"/>
  <c r="FU41" i="28"/>
  <c r="FV41" i="28"/>
  <c r="FW41" i="28"/>
  <c r="FX41" i="28"/>
  <c r="FY41" i="28"/>
  <c r="FZ41" i="28"/>
  <c r="GA41" i="28"/>
  <c r="GB41" i="28"/>
  <c r="GC41" i="28"/>
  <c r="GD41" i="28"/>
  <c r="GE41" i="28"/>
  <c r="GF41" i="28"/>
  <c r="GG41" i="28"/>
  <c r="GH41" i="28"/>
  <c r="GI41" i="28"/>
  <c r="GJ41" i="28"/>
  <c r="GK41" i="28"/>
  <c r="GL41" i="28"/>
  <c r="GM41" i="28"/>
  <c r="GN41" i="28"/>
  <c r="GO41" i="28"/>
  <c r="GP41" i="28"/>
  <c r="GQ41" i="28"/>
  <c r="GR41" i="28"/>
  <c r="GS41" i="28"/>
  <c r="GT41" i="28"/>
  <c r="GU41" i="28"/>
  <c r="GV41" i="28"/>
  <c r="GW41" i="28"/>
  <c r="GX41" i="28"/>
  <c r="GY41" i="28"/>
  <c r="GZ41" i="28"/>
  <c r="HA41" i="28"/>
  <c r="HB41" i="28"/>
  <c r="HC41" i="28"/>
  <c r="HD41" i="28"/>
  <c r="HE41" i="28"/>
  <c r="HF41" i="28"/>
  <c r="HG41" i="28"/>
  <c r="HH41" i="28"/>
  <c r="HI41" i="28"/>
  <c r="HJ41" i="28"/>
  <c r="HK41" i="28"/>
  <c r="HL41" i="28"/>
  <c r="HM41" i="28"/>
  <c r="HN41" i="28"/>
  <c r="HO41" i="28"/>
  <c r="HP41" i="28"/>
  <c r="HQ41" i="28"/>
  <c r="HR41" i="28"/>
  <c r="HS41" i="28"/>
  <c r="HT41" i="28"/>
  <c r="HU41" i="28"/>
  <c r="HV41" i="28"/>
  <c r="HW41" i="28"/>
  <c r="HX41" i="28"/>
  <c r="HY41" i="28"/>
  <c r="HZ41" i="28"/>
  <c r="IA41" i="28"/>
  <c r="IB41" i="28"/>
  <c r="IC41" i="28"/>
  <c r="ID41" i="28"/>
  <c r="IE41" i="28"/>
  <c r="IF41" i="28"/>
  <c r="IG41" i="28"/>
  <c r="IH41" i="28"/>
  <c r="II41" i="28"/>
  <c r="IJ41" i="28"/>
  <c r="IK41" i="28"/>
  <c r="IL41" i="28"/>
  <c r="IM41" i="28"/>
  <c r="IN41" i="28"/>
  <c r="IO41" i="28"/>
  <c r="IP41" i="28"/>
  <c r="IQ41" i="28"/>
  <c r="IR41" i="28"/>
  <c r="IS41" i="28"/>
  <c r="IT41" i="28"/>
  <c r="IU41" i="28"/>
  <c r="IV41" i="28"/>
  <c r="A40" i="28"/>
  <c r="B40" i="28"/>
  <c r="C40" i="28"/>
  <c r="D40" i="28"/>
  <c r="E40" i="28"/>
  <c r="F40" i="28"/>
  <c r="G40" i="28"/>
  <c r="H40" i="28"/>
  <c r="I40" i="28"/>
  <c r="J40" i="28"/>
  <c r="K40" i="28"/>
  <c r="L40" i="28"/>
  <c r="M40" i="28"/>
  <c r="N40" i="28"/>
  <c r="O40" i="28"/>
  <c r="P40" i="28"/>
  <c r="Q40" i="28"/>
  <c r="R40" i="28"/>
  <c r="S40" i="28"/>
  <c r="T40" i="28"/>
  <c r="U40" i="28"/>
  <c r="V40" i="28"/>
  <c r="W40" i="28"/>
  <c r="X40" i="28"/>
  <c r="Y40" i="28"/>
  <c r="Z40" i="28"/>
  <c r="AA40" i="28"/>
  <c r="AB40" i="28"/>
  <c r="AC40" i="28"/>
  <c r="AD40" i="28"/>
  <c r="AE40" i="28"/>
  <c r="AF40" i="28"/>
  <c r="AG40" i="28"/>
  <c r="AH40" i="28"/>
  <c r="AI40" i="28"/>
  <c r="AJ40" i="28"/>
  <c r="AK40" i="28"/>
  <c r="AL40" i="28"/>
  <c r="AM40" i="28"/>
  <c r="AN40" i="28"/>
  <c r="AO40" i="28"/>
  <c r="AP40" i="28"/>
  <c r="AQ40" i="28"/>
  <c r="AR40" i="28"/>
  <c r="AS40" i="28"/>
  <c r="AT40" i="28"/>
  <c r="AU40" i="28"/>
  <c r="AV40" i="28"/>
  <c r="AW40" i="28"/>
  <c r="AX40" i="28"/>
  <c r="AY40" i="28"/>
  <c r="AZ40" i="28"/>
  <c r="BA40" i="28"/>
  <c r="BB40" i="28"/>
  <c r="BC40" i="28"/>
  <c r="BD40" i="28"/>
  <c r="BE40" i="28"/>
  <c r="BF40" i="28"/>
  <c r="BG40" i="28"/>
  <c r="BH40" i="28"/>
  <c r="BI40" i="28"/>
  <c r="BJ40" i="28"/>
  <c r="BK40" i="28"/>
  <c r="BL40" i="28"/>
  <c r="BM40" i="28"/>
  <c r="BN40" i="28"/>
  <c r="BO40" i="28"/>
  <c r="BP40" i="28"/>
  <c r="BQ40" i="28"/>
  <c r="BR40" i="28"/>
  <c r="BS40" i="28"/>
  <c r="BT40" i="28"/>
  <c r="BU40" i="28"/>
  <c r="BV40" i="28"/>
  <c r="BW40" i="28"/>
  <c r="BX40" i="28"/>
  <c r="BY40" i="28"/>
  <c r="BZ40" i="28"/>
  <c r="CA40" i="28"/>
  <c r="CB40" i="28"/>
  <c r="CC40" i="28"/>
  <c r="CD40" i="28"/>
  <c r="CE40" i="28"/>
  <c r="CF40" i="28"/>
  <c r="CG40" i="28"/>
  <c r="CH40" i="28"/>
  <c r="CI40" i="28"/>
  <c r="CJ40" i="28"/>
  <c r="CK40" i="28"/>
  <c r="CL40" i="28"/>
  <c r="CM40" i="28"/>
  <c r="CN40" i="28"/>
  <c r="CO40" i="28"/>
  <c r="CP40" i="28"/>
  <c r="CQ40" i="28"/>
  <c r="CR40" i="28"/>
  <c r="CS40" i="28"/>
  <c r="CT40" i="28"/>
  <c r="CU40" i="28"/>
  <c r="CV40" i="28"/>
  <c r="CW40" i="28"/>
  <c r="CX40" i="28"/>
  <c r="CY40" i="28"/>
  <c r="CZ40" i="28"/>
  <c r="DA40" i="28"/>
  <c r="DB40" i="28"/>
  <c r="DC40" i="28"/>
  <c r="DD40" i="28"/>
  <c r="DE40" i="28"/>
  <c r="DF40" i="28"/>
  <c r="DG40" i="28"/>
  <c r="DH40" i="28"/>
  <c r="DI40" i="28"/>
  <c r="DJ40" i="28"/>
  <c r="DK40" i="28"/>
  <c r="DL40" i="28"/>
  <c r="DM40" i="28"/>
  <c r="DN40" i="28"/>
  <c r="DO40" i="28"/>
  <c r="DP40" i="28"/>
  <c r="DQ40" i="28"/>
  <c r="DR40" i="28"/>
  <c r="DS40" i="28"/>
  <c r="DT40" i="28"/>
  <c r="DU40" i="28"/>
  <c r="DV40" i="28"/>
  <c r="DW40" i="28"/>
  <c r="DX40" i="28"/>
  <c r="DY40" i="28"/>
  <c r="DZ40" i="28"/>
  <c r="EA40" i="28"/>
  <c r="EB40" i="28"/>
  <c r="EC40" i="28"/>
  <c r="ED40" i="28"/>
  <c r="EE40" i="28"/>
  <c r="EF40" i="28"/>
  <c r="EG40" i="28"/>
  <c r="EH40" i="28"/>
  <c r="EI40" i="28"/>
  <c r="EJ40" i="28"/>
  <c r="EK40" i="28"/>
  <c r="EL40" i="28"/>
  <c r="EM40" i="28"/>
  <c r="EN40" i="28"/>
  <c r="EO40" i="28"/>
  <c r="EP40" i="28"/>
  <c r="EQ40" i="28"/>
  <c r="ER40" i="28"/>
  <c r="ES40" i="28"/>
  <c r="ET40" i="28"/>
  <c r="EU40" i="28"/>
  <c r="EV40" i="28"/>
  <c r="EW40" i="28"/>
  <c r="EX40" i="28"/>
  <c r="EY40" i="28"/>
  <c r="EZ40" i="28"/>
  <c r="FA40" i="28"/>
  <c r="FB40" i="28"/>
  <c r="FC40" i="28"/>
  <c r="FD40" i="28"/>
  <c r="FE40" i="28"/>
  <c r="FF40" i="28"/>
  <c r="FG40" i="28"/>
  <c r="FH40" i="28"/>
  <c r="FI40" i="28"/>
  <c r="FJ40" i="28"/>
  <c r="FK40" i="28"/>
  <c r="FL40" i="28"/>
  <c r="FM40" i="28"/>
  <c r="FN40" i="28"/>
  <c r="FO40" i="28"/>
  <c r="FP40" i="28"/>
  <c r="FQ40" i="28"/>
  <c r="FR40" i="28"/>
  <c r="FS40" i="28"/>
  <c r="FT40" i="28"/>
  <c r="FU40" i="28"/>
  <c r="FV40" i="28"/>
  <c r="FW40" i="28"/>
  <c r="FX40" i="28"/>
  <c r="FY40" i="28"/>
  <c r="FZ40" i="28"/>
  <c r="GA40" i="28"/>
  <c r="GB40" i="28"/>
  <c r="GC40" i="28"/>
  <c r="GD40" i="28"/>
  <c r="GE40" i="28"/>
  <c r="GF40" i="28"/>
  <c r="GG40" i="28"/>
  <c r="GH40" i="28"/>
  <c r="GI40" i="28"/>
  <c r="GJ40" i="28"/>
  <c r="GK40" i="28"/>
  <c r="GL40" i="28"/>
  <c r="GM40" i="28"/>
  <c r="GN40" i="28"/>
  <c r="GO40" i="28"/>
  <c r="GP40" i="28"/>
  <c r="GQ40" i="28"/>
  <c r="GR40" i="28"/>
  <c r="GS40" i="28"/>
  <c r="GT40" i="28"/>
  <c r="GU40" i="28"/>
  <c r="GV40" i="28"/>
  <c r="GW40" i="28"/>
  <c r="GX40" i="28"/>
  <c r="GY40" i="28"/>
  <c r="GZ40" i="28"/>
  <c r="HA40" i="28"/>
  <c r="HB40" i="28"/>
  <c r="HC40" i="28"/>
  <c r="HD40" i="28"/>
  <c r="HE40" i="28"/>
  <c r="HF40" i="28"/>
  <c r="HG40" i="28"/>
  <c r="HH40" i="28"/>
  <c r="HI40" i="28"/>
  <c r="HJ40" i="28"/>
  <c r="HK40" i="28"/>
  <c r="HL40" i="28"/>
  <c r="HM40" i="28"/>
  <c r="HN40" i="28"/>
  <c r="HO40" i="28"/>
  <c r="HP40" i="28"/>
  <c r="HQ40" i="28"/>
  <c r="HR40" i="28"/>
  <c r="HS40" i="28"/>
  <c r="HT40" i="28"/>
  <c r="HU40" i="28"/>
  <c r="HV40" i="28"/>
  <c r="HW40" i="28"/>
  <c r="HX40" i="28"/>
  <c r="HY40" i="28"/>
  <c r="HZ40" i="28"/>
  <c r="IA40" i="28"/>
  <c r="IB40" i="28"/>
  <c r="IC40" i="28"/>
  <c r="ID40" i="28"/>
  <c r="IE40" i="28"/>
  <c r="IF40" i="28"/>
  <c r="IG40" i="28"/>
  <c r="IH40" i="28"/>
  <c r="II40" i="28"/>
  <c r="IJ40" i="28"/>
  <c r="IK40" i="28"/>
  <c r="IL40" i="28"/>
  <c r="IM40" i="28"/>
  <c r="IN40" i="28"/>
  <c r="IO40" i="28"/>
  <c r="IP40" i="28"/>
  <c r="IQ40" i="28"/>
  <c r="IR40" i="28"/>
  <c r="IS40" i="28"/>
  <c r="IT40" i="28"/>
  <c r="IU40" i="28"/>
  <c r="IV40" i="28"/>
  <c r="A39" i="28"/>
  <c r="B39" i="28"/>
  <c r="C39" i="28"/>
  <c r="D39" i="28"/>
  <c r="E39" i="28"/>
  <c r="F39" i="28"/>
  <c r="G39" i="28"/>
  <c r="H39" i="28"/>
  <c r="I39" i="28"/>
  <c r="J39" i="28"/>
  <c r="K39" i="28"/>
  <c r="L39" i="28"/>
  <c r="M39" i="28"/>
  <c r="N39" i="28"/>
  <c r="O39" i="28"/>
  <c r="P39" i="28"/>
  <c r="Q39" i="28"/>
  <c r="R39" i="28"/>
  <c r="S39" i="28"/>
  <c r="T39" i="28"/>
  <c r="U39" i="28"/>
  <c r="V39" i="28"/>
  <c r="W39" i="28"/>
  <c r="X39" i="28"/>
  <c r="Y39" i="28"/>
  <c r="Z39" i="28"/>
  <c r="AA39" i="28"/>
  <c r="AB39" i="28"/>
  <c r="AC39" i="28"/>
  <c r="AD39" i="28"/>
  <c r="AE39" i="28"/>
  <c r="AF39" i="28"/>
  <c r="AG39" i="28"/>
  <c r="AH39" i="28"/>
  <c r="AI39" i="28"/>
  <c r="AJ39" i="28"/>
  <c r="AK39" i="28"/>
  <c r="AL39" i="28"/>
  <c r="AM39" i="28"/>
  <c r="AN39" i="28"/>
  <c r="AO39" i="28"/>
  <c r="AP39" i="28"/>
  <c r="AQ39" i="28"/>
  <c r="AR39" i="28"/>
  <c r="AS39" i="28"/>
  <c r="AT39" i="28"/>
  <c r="AU39" i="28"/>
  <c r="AV39" i="28"/>
  <c r="AW39" i="28"/>
  <c r="AX39" i="28"/>
  <c r="AY39" i="28"/>
  <c r="AZ39" i="28"/>
  <c r="BA39" i="28"/>
  <c r="BB39" i="28"/>
  <c r="BC39" i="28"/>
  <c r="BD39" i="28"/>
  <c r="BE39" i="28"/>
  <c r="BF39" i="28"/>
  <c r="BG39" i="28"/>
  <c r="BH39" i="28"/>
  <c r="BI39" i="28"/>
  <c r="BJ39" i="28"/>
  <c r="BK39" i="28"/>
  <c r="BL39" i="28"/>
  <c r="BM39" i="28"/>
  <c r="BN39" i="28"/>
  <c r="BO39" i="28"/>
  <c r="BP39" i="28"/>
  <c r="BQ39" i="28"/>
  <c r="BR39" i="28"/>
  <c r="BS39" i="28"/>
  <c r="BT39" i="28"/>
  <c r="BU39" i="28"/>
  <c r="BV39" i="28"/>
  <c r="BW39" i="28"/>
  <c r="BX39" i="28"/>
  <c r="BY39" i="28"/>
  <c r="BZ39" i="28"/>
  <c r="CA39" i="28"/>
  <c r="CB39" i="28"/>
  <c r="CC39" i="28"/>
  <c r="CD39" i="28"/>
  <c r="CE39" i="28"/>
  <c r="CF39" i="28"/>
  <c r="CG39" i="28"/>
  <c r="CH39" i="28"/>
  <c r="CI39" i="28"/>
  <c r="CJ39" i="28"/>
  <c r="CK39" i="28"/>
  <c r="CL39" i="28"/>
  <c r="CM39" i="28"/>
  <c r="CN39" i="28"/>
  <c r="CO39" i="28"/>
  <c r="CP39" i="28"/>
  <c r="CQ39" i="28"/>
  <c r="CR39" i="28"/>
  <c r="CS39" i="28"/>
  <c r="CT39" i="28"/>
  <c r="CU39" i="28"/>
  <c r="CV39" i="28"/>
  <c r="CW39" i="28"/>
  <c r="CX39" i="28"/>
  <c r="CY39" i="28"/>
  <c r="CZ39" i="28"/>
  <c r="DA39" i="28"/>
  <c r="DB39" i="28"/>
  <c r="DC39" i="28"/>
  <c r="DD39" i="28"/>
  <c r="DE39" i="28"/>
  <c r="DF39" i="28"/>
  <c r="DG39" i="28"/>
  <c r="DH39" i="28"/>
  <c r="DI39" i="28"/>
  <c r="DJ39" i="28"/>
  <c r="DK39" i="28"/>
  <c r="DL39" i="28"/>
  <c r="DM39" i="28"/>
  <c r="DN39" i="28"/>
  <c r="DO39" i="28"/>
  <c r="DP39" i="28"/>
  <c r="DQ39" i="28"/>
  <c r="DR39" i="28"/>
  <c r="DS39" i="28"/>
  <c r="DT39" i="28"/>
  <c r="DU39" i="28"/>
  <c r="DV39" i="28"/>
  <c r="DW39" i="28"/>
  <c r="DX39" i="28"/>
  <c r="DY39" i="28"/>
  <c r="DZ39" i="28"/>
  <c r="EA39" i="28"/>
  <c r="EB39" i="28"/>
  <c r="EC39" i="28"/>
  <c r="ED39" i="28"/>
  <c r="EE39" i="28"/>
  <c r="EF39" i="28"/>
  <c r="EG39" i="28"/>
  <c r="EH39" i="28"/>
  <c r="EI39" i="28"/>
  <c r="EJ39" i="28"/>
  <c r="EK39" i="28"/>
  <c r="EL39" i="28"/>
  <c r="EM39" i="28"/>
  <c r="EN39" i="28"/>
  <c r="EO39" i="28"/>
  <c r="EP39" i="28"/>
  <c r="EQ39" i="28"/>
  <c r="ER39" i="28"/>
  <c r="ES39" i="28"/>
  <c r="ET39" i="28"/>
  <c r="EU39" i="28"/>
  <c r="EV39" i="28"/>
  <c r="EW39" i="28"/>
  <c r="EX39" i="28"/>
  <c r="EY39" i="28"/>
  <c r="EZ39" i="28"/>
  <c r="FA39" i="28"/>
  <c r="FB39" i="28"/>
  <c r="FC39" i="28"/>
  <c r="FD39" i="28"/>
  <c r="FE39" i="28"/>
  <c r="FF39" i="28"/>
  <c r="FG39" i="28"/>
  <c r="FH39" i="28"/>
  <c r="FI39" i="28"/>
  <c r="FJ39" i="28"/>
  <c r="FK39" i="28"/>
  <c r="FL39" i="28"/>
  <c r="FM39" i="28"/>
  <c r="FN39" i="28"/>
  <c r="FO39" i="28"/>
  <c r="FP39" i="28"/>
  <c r="FQ39" i="28"/>
  <c r="FR39" i="28"/>
  <c r="FS39" i="28"/>
  <c r="FT39" i="28"/>
  <c r="FU39" i="28"/>
  <c r="FV39" i="28"/>
  <c r="FW39" i="28"/>
  <c r="FX39" i="28"/>
  <c r="FY39" i="28"/>
  <c r="FZ39" i="28"/>
  <c r="GA39" i="28"/>
  <c r="GB39" i="28"/>
  <c r="GC39" i="28"/>
  <c r="GD39" i="28"/>
  <c r="GE39" i="28"/>
  <c r="GF39" i="28"/>
  <c r="GG39" i="28"/>
  <c r="GH39" i="28"/>
  <c r="GI39" i="28"/>
  <c r="GJ39" i="28"/>
  <c r="GK39" i="28"/>
  <c r="GL39" i="28"/>
  <c r="GM39" i="28"/>
  <c r="GN39" i="28"/>
  <c r="GO39" i="28"/>
  <c r="GP39" i="28"/>
  <c r="GQ39" i="28"/>
  <c r="GR39" i="28"/>
  <c r="GS39" i="28"/>
  <c r="GT39" i="28"/>
  <c r="GU39" i="28"/>
  <c r="GV39" i="28"/>
  <c r="GW39" i="28"/>
  <c r="GX39" i="28"/>
  <c r="GY39" i="28"/>
  <c r="GZ39" i="28"/>
  <c r="HA39" i="28"/>
  <c r="HB39" i="28"/>
  <c r="HC39" i="28"/>
  <c r="HD39" i="28"/>
  <c r="HE39" i="28"/>
  <c r="HF39" i="28"/>
  <c r="HG39" i="28"/>
  <c r="HH39" i="28"/>
  <c r="HI39" i="28"/>
  <c r="HJ39" i="28"/>
  <c r="HK39" i="28"/>
  <c r="HL39" i="28"/>
  <c r="HM39" i="28"/>
  <c r="HN39" i="28"/>
  <c r="HO39" i="28"/>
  <c r="HP39" i="28"/>
  <c r="HQ39" i="28"/>
  <c r="HR39" i="28"/>
  <c r="HS39" i="28"/>
  <c r="HT39" i="28"/>
  <c r="HU39" i="28"/>
  <c r="HV39" i="28"/>
  <c r="HW39" i="28"/>
  <c r="HX39" i="28"/>
  <c r="HY39" i="28"/>
  <c r="HZ39" i="28"/>
  <c r="IA39" i="28"/>
  <c r="IB39" i="28"/>
  <c r="IC39" i="28"/>
  <c r="ID39" i="28"/>
  <c r="IE39" i="28"/>
  <c r="IF39" i="28"/>
  <c r="IG39" i="28"/>
  <c r="IH39" i="28"/>
  <c r="II39" i="28"/>
  <c r="IJ39" i="28"/>
  <c r="IK39" i="28"/>
  <c r="IL39" i="28"/>
  <c r="IM39" i="28"/>
  <c r="IN39" i="28"/>
  <c r="IO39" i="28"/>
  <c r="IP39" i="28"/>
  <c r="IQ39" i="28"/>
  <c r="IR39" i="28"/>
  <c r="IS39" i="28"/>
  <c r="IT39" i="28"/>
  <c r="IU39" i="28"/>
  <c r="IV39" i="28"/>
  <c r="A38" i="28"/>
  <c r="B38" i="28"/>
  <c r="C38" i="28"/>
  <c r="D38" i="28"/>
  <c r="E38" i="28"/>
  <c r="F38" i="28"/>
  <c r="G38" i="28"/>
  <c r="H38" i="28"/>
  <c r="I38" i="28"/>
  <c r="J38" i="28"/>
  <c r="K38" i="28"/>
  <c r="L38" i="28"/>
  <c r="M38" i="28"/>
  <c r="N38" i="28"/>
  <c r="O38" i="28"/>
  <c r="P38" i="28"/>
  <c r="Q38" i="28"/>
  <c r="R38" i="28"/>
  <c r="S38" i="28"/>
  <c r="T38" i="28"/>
  <c r="U38" i="28"/>
  <c r="V38" i="28"/>
  <c r="W38" i="28"/>
  <c r="X38" i="28"/>
  <c r="Y38" i="28"/>
  <c r="Z38" i="28"/>
  <c r="AA38" i="28"/>
  <c r="AB38" i="28"/>
  <c r="AC38" i="28"/>
  <c r="AD38" i="28"/>
  <c r="AE38" i="28"/>
  <c r="AF38" i="28"/>
  <c r="AG38" i="28"/>
  <c r="AH38" i="28"/>
  <c r="AI38" i="28"/>
  <c r="AJ38" i="28"/>
  <c r="AK38" i="28"/>
  <c r="AL38" i="28"/>
  <c r="AM38" i="28"/>
  <c r="AN38" i="28"/>
  <c r="AO38" i="28"/>
  <c r="AP38" i="28"/>
  <c r="AQ38" i="28"/>
  <c r="AR38" i="28"/>
  <c r="AS38" i="28"/>
  <c r="AT38" i="28"/>
  <c r="AU38" i="28"/>
  <c r="AV38" i="28"/>
  <c r="AW38" i="28"/>
  <c r="AX38" i="28"/>
  <c r="AY38" i="28"/>
  <c r="AZ38" i="28"/>
  <c r="BA38" i="28"/>
  <c r="BB38" i="28"/>
  <c r="BC38" i="28"/>
  <c r="BD38" i="28"/>
  <c r="BE38" i="28"/>
  <c r="BF38" i="28"/>
  <c r="BG38" i="28"/>
  <c r="BH38" i="28"/>
  <c r="BI38" i="28"/>
  <c r="BJ38" i="28"/>
  <c r="BK38" i="28"/>
  <c r="BL38" i="28"/>
  <c r="BM38" i="28"/>
  <c r="BN38" i="28"/>
  <c r="BO38" i="28"/>
  <c r="BP38" i="28"/>
  <c r="BQ38" i="28"/>
  <c r="BR38" i="28"/>
  <c r="BS38" i="28"/>
  <c r="BT38" i="28"/>
  <c r="BU38" i="28"/>
  <c r="BV38" i="28"/>
  <c r="BW38" i="28"/>
  <c r="BX38" i="28"/>
  <c r="BY38" i="28"/>
  <c r="BZ38" i="28"/>
  <c r="CA38" i="28"/>
  <c r="CB38" i="28"/>
  <c r="CC38" i="28"/>
  <c r="CD38" i="28"/>
  <c r="CE38" i="28"/>
  <c r="CF38" i="28"/>
  <c r="CG38" i="28"/>
  <c r="CH38" i="28"/>
  <c r="CI38" i="28"/>
  <c r="CJ38" i="28"/>
  <c r="CK38" i="28"/>
  <c r="CL38" i="28"/>
  <c r="CM38" i="28"/>
  <c r="CN38" i="28"/>
  <c r="CO38" i="28"/>
  <c r="CP38" i="28"/>
  <c r="CQ38" i="28"/>
  <c r="CR38" i="28"/>
  <c r="CS38" i="28"/>
  <c r="CT38" i="28"/>
  <c r="CU38" i="28"/>
  <c r="CV38" i="28"/>
  <c r="CW38" i="28"/>
  <c r="CX38" i="28"/>
  <c r="CY38" i="28"/>
  <c r="CZ38" i="28"/>
  <c r="DA38" i="28"/>
  <c r="DB38" i="28"/>
  <c r="DC38" i="28"/>
  <c r="DD38" i="28"/>
  <c r="DE38" i="28"/>
  <c r="DF38" i="28"/>
  <c r="DG38" i="28"/>
  <c r="DH38" i="28"/>
  <c r="DI38" i="28"/>
  <c r="DJ38" i="28"/>
  <c r="DK38" i="28"/>
  <c r="DL38" i="28"/>
  <c r="DM38" i="28"/>
  <c r="DN38" i="28"/>
  <c r="DO38" i="28"/>
  <c r="DP38" i="28"/>
  <c r="DQ38" i="28"/>
  <c r="DR38" i="28"/>
  <c r="DS38" i="28"/>
  <c r="DT38" i="28"/>
  <c r="DU38" i="28"/>
  <c r="DV38" i="28"/>
  <c r="DW38" i="28"/>
  <c r="DX38" i="28"/>
  <c r="DY38" i="28"/>
  <c r="DZ38" i="28"/>
  <c r="EA38" i="28"/>
  <c r="EB38" i="28"/>
  <c r="EC38" i="28"/>
  <c r="ED38" i="28"/>
  <c r="EE38" i="28"/>
  <c r="EF38" i="28"/>
  <c r="EG38" i="28"/>
  <c r="EH38" i="28"/>
  <c r="EI38" i="28"/>
  <c r="EJ38" i="28"/>
  <c r="EK38" i="28"/>
  <c r="EL38" i="28"/>
  <c r="EM38" i="28"/>
  <c r="EN38" i="28"/>
  <c r="EO38" i="28"/>
  <c r="EP38" i="28"/>
  <c r="EQ38" i="28"/>
  <c r="ER38" i="28"/>
  <c r="ES38" i="28"/>
  <c r="ET38" i="28"/>
  <c r="EU38" i="28"/>
  <c r="EV38" i="28"/>
  <c r="EW38" i="28"/>
  <c r="EX38" i="28"/>
  <c r="EY38" i="28"/>
  <c r="EZ38" i="28"/>
  <c r="FA38" i="28"/>
  <c r="FB38" i="28"/>
  <c r="FC38" i="28"/>
  <c r="FD38" i="28"/>
  <c r="FE38" i="28"/>
  <c r="FF38" i="28"/>
  <c r="FG38" i="28"/>
  <c r="FH38" i="28"/>
  <c r="FI38" i="28"/>
  <c r="FJ38" i="28"/>
  <c r="FK38" i="28"/>
  <c r="FL38" i="28"/>
  <c r="FM38" i="28"/>
  <c r="FN38" i="28"/>
  <c r="FO38" i="28"/>
  <c r="FP38" i="28"/>
  <c r="FQ38" i="28"/>
  <c r="FR38" i="28"/>
  <c r="FS38" i="28"/>
  <c r="FT38" i="28"/>
  <c r="FU38" i="28"/>
  <c r="FV38" i="28"/>
  <c r="FW38" i="28"/>
  <c r="FX38" i="28"/>
  <c r="FY38" i="28"/>
  <c r="FZ38" i="28"/>
  <c r="GA38" i="28"/>
  <c r="GB38" i="28"/>
  <c r="GC38" i="28"/>
  <c r="GD38" i="28"/>
  <c r="GE38" i="28"/>
  <c r="GF38" i="28"/>
  <c r="GG38" i="28"/>
  <c r="GH38" i="28"/>
  <c r="GI38" i="28"/>
  <c r="GJ38" i="28"/>
  <c r="GK38" i="28"/>
  <c r="GL38" i="28"/>
  <c r="GM38" i="28"/>
  <c r="GN38" i="28"/>
  <c r="GO38" i="28"/>
  <c r="GP38" i="28"/>
  <c r="GQ38" i="28"/>
  <c r="GR38" i="28"/>
  <c r="GS38" i="28"/>
  <c r="GT38" i="28"/>
  <c r="GU38" i="28"/>
  <c r="GV38" i="28"/>
  <c r="GW38" i="28"/>
  <c r="GX38" i="28"/>
  <c r="GY38" i="28"/>
  <c r="GZ38" i="28"/>
  <c r="HA38" i="28"/>
  <c r="HB38" i="28"/>
  <c r="HC38" i="28"/>
  <c r="HD38" i="28"/>
  <c r="HE38" i="28"/>
  <c r="HF38" i="28"/>
  <c r="HG38" i="28"/>
  <c r="HH38" i="28"/>
  <c r="HI38" i="28"/>
  <c r="HJ38" i="28"/>
  <c r="HK38" i="28"/>
  <c r="HL38" i="28"/>
  <c r="HM38" i="28"/>
  <c r="HN38" i="28"/>
  <c r="HO38" i="28"/>
  <c r="HP38" i="28"/>
  <c r="HQ38" i="28"/>
  <c r="HR38" i="28"/>
  <c r="HS38" i="28"/>
  <c r="HT38" i="28"/>
  <c r="HU38" i="28"/>
  <c r="HV38" i="28"/>
  <c r="HW38" i="28"/>
  <c r="HX38" i="28"/>
  <c r="HY38" i="28"/>
  <c r="HZ38" i="28"/>
  <c r="IA38" i="28"/>
  <c r="IB38" i="28"/>
  <c r="IC38" i="28"/>
  <c r="ID38" i="28"/>
  <c r="IE38" i="28"/>
  <c r="IF38" i="28"/>
  <c r="IG38" i="28"/>
  <c r="IH38" i="28"/>
  <c r="II38" i="28"/>
  <c r="IJ38" i="28"/>
  <c r="IK38" i="28"/>
  <c r="IL38" i="28"/>
  <c r="IM38" i="28"/>
  <c r="IN38" i="28"/>
  <c r="IO38" i="28"/>
  <c r="IP38" i="28"/>
  <c r="IQ38" i="28"/>
  <c r="IR38" i="28"/>
  <c r="IS38" i="28"/>
  <c r="IT38" i="28"/>
  <c r="IU38" i="28"/>
  <c r="IV38" i="28"/>
  <c r="A37" i="28"/>
  <c r="B37" i="28"/>
  <c r="C37" i="28"/>
  <c r="D37" i="28"/>
  <c r="E37" i="28"/>
  <c r="F37" i="28"/>
  <c r="G37" i="28"/>
  <c r="H37" i="28"/>
  <c r="I37" i="28"/>
  <c r="J37" i="28"/>
  <c r="K37" i="28"/>
  <c r="L37" i="28"/>
  <c r="M37" i="28"/>
  <c r="N37" i="28"/>
  <c r="O37" i="28"/>
  <c r="P37" i="28"/>
  <c r="Q37" i="28"/>
  <c r="R37" i="28"/>
  <c r="S37" i="28"/>
  <c r="T37" i="28"/>
  <c r="U37" i="28"/>
  <c r="V37" i="28"/>
  <c r="W37" i="28"/>
  <c r="X37" i="28"/>
  <c r="Y37" i="28"/>
  <c r="Z37" i="28"/>
  <c r="AA37" i="28"/>
  <c r="AB37" i="28"/>
  <c r="AC37" i="28"/>
  <c r="AD37" i="28"/>
  <c r="AE37" i="28"/>
  <c r="AF37" i="28"/>
  <c r="AG37" i="28"/>
  <c r="AH37" i="28"/>
  <c r="AI37" i="28"/>
  <c r="AJ37" i="28"/>
  <c r="AK37" i="28"/>
  <c r="AL37" i="28"/>
  <c r="AM37" i="28"/>
  <c r="AN37" i="28"/>
  <c r="AO37" i="28"/>
  <c r="AP37" i="28"/>
  <c r="AQ37" i="28"/>
  <c r="AR37" i="28"/>
  <c r="AS37" i="28"/>
  <c r="AT37" i="28"/>
  <c r="AU37" i="28"/>
  <c r="AV37" i="28"/>
  <c r="AW37" i="28"/>
  <c r="AX37" i="28"/>
  <c r="AY37" i="28"/>
  <c r="AZ37" i="28"/>
  <c r="BA37" i="28"/>
  <c r="BB37" i="28"/>
  <c r="BC37" i="28"/>
  <c r="BD37" i="28"/>
  <c r="BE37" i="28"/>
  <c r="BF37" i="28"/>
  <c r="BG37" i="28"/>
  <c r="BH37" i="28"/>
  <c r="BI37" i="28"/>
  <c r="BJ37" i="28"/>
  <c r="BK37" i="28"/>
  <c r="BL37" i="28"/>
  <c r="BM37" i="28"/>
  <c r="BN37" i="28"/>
  <c r="BO37" i="28"/>
  <c r="BP37" i="28"/>
  <c r="BQ37" i="28"/>
  <c r="BR37" i="28"/>
  <c r="BS37" i="28"/>
  <c r="BT37" i="28"/>
  <c r="BU37" i="28"/>
  <c r="BV37" i="28"/>
  <c r="BW37" i="28"/>
  <c r="BX37" i="28"/>
  <c r="BY37" i="28"/>
  <c r="BZ37" i="28"/>
  <c r="CA37" i="28"/>
  <c r="CB37" i="28"/>
  <c r="CC37" i="28"/>
  <c r="CD37" i="28"/>
  <c r="CE37" i="28"/>
  <c r="CF37" i="28"/>
  <c r="CG37" i="28"/>
  <c r="CH37" i="28"/>
  <c r="CI37" i="28"/>
  <c r="CJ37" i="28"/>
  <c r="CK37" i="28"/>
  <c r="CL37" i="28"/>
  <c r="CM37" i="28"/>
  <c r="CN37" i="28"/>
  <c r="CO37" i="28"/>
  <c r="CP37" i="28"/>
  <c r="CQ37" i="28"/>
  <c r="CR37" i="28"/>
  <c r="CS37" i="28"/>
  <c r="CT37" i="28"/>
  <c r="CU37" i="28"/>
  <c r="CV37" i="28"/>
  <c r="CW37" i="28"/>
  <c r="CX37" i="28"/>
  <c r="CY37" i="28"/>
  <c r="CZ37" i="28"/>
  <c r="DA37" i="28"/>
  <c r="DB37" i="28"/>
  <c r="DC37" i="28"/>
  <c r="DD37" i="28"/>
  <c r="DE37" i="28"/>
  <c r="DF37" i="28"/>
  <c r="DG37" i="28"/>
  <c r="DH37" i="28"/>
  <c r="DI37" i="28"/>
  <c r="DJ37" i="28"/>
  <c r="DK37" i="28"/>
  <c r="DL37" i="28"/>
  <c r="DM37" i="28"/>
  <c r="DN37" i="28"/>
  <c r="DO37" i="28"/>
  <c r="DP37" i="28"/>
  <c r="DQ37" i="28"/>
  <c r="DR37" i="28"/>
  <c r="DS37" i="28"/>
  <c r="DT37" i="28"/>
  <c r="DU37" i="28"/>
  <c r="DV37" i="28"/>
  <c r="DW37" i="28"/>
  <c r="DX37" i="28"/>
  <c r="DY37" i="28"/>
  <c r="DZ37" i="28"/>
  <c r="EA37" i="28"/>
  <c r="EB37" i="28"/>
  <c r="EC37" i="28"/>
  <c r="ED37" i="28"/>
  <c r="EE37" i="28"/>
  <c r="EF37" i="28"/>
  <c r="EG37" i="28"/>
  <c r="EH37" i="28"/>
  <c r="EI37" i="28"/>
  <c r="EJ37" i="28"/>
  <c r="EK37" i="28"/>
  <c r="EL37" i="28"/>
  <c r="EM37" i="28"/>
  <c r="EN37" i="28"/>
  <c r="EO37" i="28"/>
  <c r="EP37" i="28"/>
  <c r="EQ37" i="28"/>
  <c r="ER37" i="28"/>
  <c r="ES37" i="28"/>
  <c r="ET37" i="28"/>
  <c r="EU37" i="28"/>
  <c r="EV37" i="28"/>
  <c r="EW37" i="28"/>
  <c r="EX37" i="28"/>
  <c r="EY37" i="28"/>
  <c r="EZ37" i="28"/>
  <c r="FA37" i="28"/>
  <c r="FB37" i="28"/>
  <c r="FC37" i="28"/>
  <c r="FD37" i="28"/>
  <c r="FE37" i="28"/>
  <c r="FF37" i="28"/>
  <c r="FG37" i="28"/>
  <c r="FH37" i="28"/>
  <c r="FI37" i="28"/>
  <c r="FJ37" i="28"/>
  <c r="FK37" i="28"/>
  <c r="FL37" i="28"/>
  <c r="FM37" i="28"/>
  <c r="FN37" i="28"/>
  <c r="FO37" i="28"/>
  <c r="FP37" i="28"/>
  <c r="FQ37" i="28"/>
  <c r="FR37" i="28"/>
  <c r="FS37" i="28"/>
  <c r="FT37" i="28"/>
  <c r="FU37" i="28"/>
  <c r="FV37" i="28"/>
  <c r="FW37" i="28"/>
  <c r="FX37" i="28"/>
  <c r="FY37" i="28"/>
  <c r="FZ37" i="28"/>
  <c r="GA37" i="28"/>
  <c r="GB37" i="28"/>
  <c r="GC37" i="28"/>
  <c r="GD37" i="28"/>
  <c r="GE37" i="28"/>
  <c r="GF37" i="28"/>
  <c r="GG37" i="28"/>
  <c r="GH37" i="28"/>
  <c r="GI37" i="28"/>
  <c r="GJ37" i="28"/>
  <c r="GK37" i="28"/>
  <c r="GL37" i="28"/>
  <c r="GM37" i="28"/>
  <c r="GN37" i="28"/>
  <c r="GO37" i="28"/>
  <c r="GP37" i="28"/>
  <c r="GQ37" i="28"/>
  <c r="GR37" i="28"/>
  <c r="GS37" i="28"/>
  <c r="GT37" i="28"/>
  <c r="GU37" i="28"/>
  <c r="GV37" i="28"/>
  <c r="GW37" i="28"/>
  <c r="GX37" i="28"/>
  <c r="GY37" i="28"/>
  <c r="GZ37" i="28"/>
  <c r="HA37" i="28"/>
  <c r="HB37" i="28"/>
  <c r="HC37" i="28"/>
  <c r="HD37" i="28"/>
  <c r="HE37" i="28"/>
  <c r="HF37" i="28"/>
  <c r="HG37" i="28"/>
  <c r="HH37" i="28"/>
  <c r="HI37" i="28"/>
  <c r="HJ37" i="28"/>
  <c r="HK37" i="28"/>
  <c r="HL37" i="28"/>
  <c r="HM37" i="28"/>
  <c r="HN37" i="28"/>
  <c r="HO37" i="28"/>
  <c r="HP37" i="28"/>
  <c r="HQ37" i="28"/>
  <c r="HR37" i="28"/>
  <c r="HS37" i="28"/>
  <c r="HT37" i="28"/>
  <c r="HU37" i="28"/>
  <c r="HV37" i="28"/>
  <c r="HW37" i="28"/>
  <c r="HX37" i="28"/>
  <c r="HY37" i="28"/>
  <c r="HZ37" i="28"/>
  <c r="IA37" i="28"/>
  <c r="IB37" i="28"/>
  <c r="IC37" i="28"/>
  <c r="ID37" i="28"/>
  <c r="IE37" i="28"/>
  <c r="IF37" i="28"/>
  <c r="IG37" i="28"/>
  <c r="IH37" i="28"/>
  <c r="II37" i="28"/>
  <c r="IJ37" i="28"/>
  <c r="IK37" i="28"/>
  <c r="IL37" i="28"/>
  <c r="IM37" i="28"/>
  <c r="IN37" i="28"/>
  <c r="IO37" i="28"/>
  <c r="IP37" i="28"/>
  <c r="IQ37" i="28"/>
  <c r="IR37" i="28"/>
  <c r="IS37" i="28"/>
  <c r="IT37" i="28"/>
  <c r="IU37" i="28"/>
  <c r="IV37" i="28"/>
  <c r="A36" i="28"/>
  <c r="B36" i="28"/>
  <c r="C36" i="28"/>
  <c r="D36" i="28"/>
  <c r="E36" i="28"/>
  <c r="F36" i="28"/>
  <c r="G36" i="28"/>
  <c r="H36" i="28"/>
  <c r="I36" i="28"/>
  <c r="J36" i="28"/>
  <c r="K36" i="28"/>
  <c r="L36" i="28"/>
  <c r="M36" i="28"/>
  <c r="N36" i="28"/>
  <c r="O36" i="28"/>
  <c r="P36" i="28"/>
  <c r="Q36" i="28"/>
  <c r="R36" i="28"/>
  <c r="S36" i="28"/>
  <c r="T36" i="28"/>
  <c r="U36" i="28"/>
  <c r="V36" i="28"/>
  <c r="W36" i="28"/>
  <c r="X36" i="28"/>
  <c r="Y36" i="28"/>
  <c r="Z36" i="28"/>
  <c r="AA36" i="28"/>
  <c r="AB36" i="28"/>
  <c r="AC36" i="28"/>
  <c r="AD36" i="28"/>
  <c r="AE36" i="28"/>
  <c r="AF36" i="28"/>
  <c r="AG36" i="28"/>
  <c r="AH36" i="28"/>
  <c r="AI36" i="28"/>
  <c r="AJ36" i="28"/>
  <c r="AK36" i="28"/>
  <c r="AL36" i="28"/>
  <c r="AM36" i="28"/>
  <c r="AN36" i="28"/>
  <c r="AO36" i="28"/>
  <c r="AP36" i="28"/>
  <c r="AQ36" i="28"/>
  <c r="AR36" i="28"/>
  <c r="AS36" i="28"/>
  <c r="AT36" i="28"/>
  <c r="AU36" i="28"/>
  <c r="AV36" i="28"/>
  <c r="AW36" i="28"/>
  <c r="AX36" i="28"/>
  <c r="AY36" i="28"/>
  <c r="AZ36" i="28"/>
  <c r="BA36" i="28"/>
  <c r="BB36" i="28"/>
  <c r="BC36" i="28"/>
  <c r="BD36" i="28"/>
  <c r="BE36" i="28"/>
  <c r="BF36" i="28"/>
  <c r="BG36" i="28"/>
  <c r="BH36" i="28"/>
  <c r="BI36" i="28"/>
  <c r="BJ36" i="28"/>
  <c r="BK36" i="28"/>
  <c r="BL36" i="28"/>
  <c r="BM36" i="28"/>
  <c r="BN36" i="28"/>
  <c r="BO36" i="28"/>
  <c r="BP36" i="28"/>
  <c r="BQ36" i="28"/>
  <c r="BR36" i="28"/>
  <c r="BS36" i="28"/>
  <c r="BT36" i="28"/>
  <c r="BU36" i="28"/>
  <c r="BV36" i="28"/>
  <c r="BW36" i="28"/>
  <c r="BX36" i="28"/>
  <c r="BY36" i="28"/>
  <c r="BZ36" i="28"/>
  <c r="CA36" i="28"/>
  <c r="CB36" i="28"/>
  <c r="CC36" i="28"/>
  <c r="CD36" i="28"/>
  <c r="CE36" i="28"/>
  <c r="CF36" i="28"/>
  <c r="CG36" i="28"/>
  <c r="CH36" i="28"/>
  <c r="CI36" i="28"/>
  <c r="CJ36" i="28"/>
  <c r="CK36" i="28"/>
  <c r="CL36" i="28"/>
  <c r="CM36" i="28"/>
  <c r="CN36" i="28"/>
  <c r="CO36" i="28"/>
  <c r="CP36" i="28"/>
  <c r="CQ36" i="28"/>
  <c r="CR36" i="28"/>
  <c r="CS36" i="28"/>
  <c r="CT36" i="28"/>
  <c r="CU36" i="28"/>
  <c r="CV36" i="28"/>
  <c r="CW36" i="28"/>
  <c r="CX36" i="28"/>
  <c r="CY36" i="28"/>
  <c r="CZ36" i="28"/>
  <c r="DA36" i="28"/>
  <c r="DB36" i="28"/>
  <c r="DC36" i="28"/>
  <c r="DD36" i="28"/>
  <c r="DE36" i="28"/>
  <c r="DF36" i="28"/>
  <c r="DG36" i="28"/>
  <c r="DH36" i="28"/>
  <c r="DI36" i="28"/>
  <c r="DJ36" i="28"/>
  <c r="DK36" i="28"/>
  <c r="DL36" i="28"/>
  <c r="DM36" i="28"/>
  <c r="DN36" i="28"/>
  <c r="DO36" i="28"/>
  <c r="DP36" i="28"/>
  <c r="DQ36" i="28"/>
  <c r="DR36" i="28"/>
  <c r="DS36" i="28"/>
  <c r="DT36" i="28"/>
  <c r="DU36" i="28"/>
  <c r="DV36" i="28"/>
  <c r="DW36" i="28"/>
  <c r="DX36" i="28"/>
  <c r="DY36" i="28"/>
  <c r="DZ36" i="28"/>
  <c r="EA36" i="28"/>
  <c r="EB36" i="28"/>
  <c r="EC36" i="28"/>
  <c r="ED36" i="28"/>
  <c r="EE36" i="28"/>
  <c r="EF36" i="28"/>
  <c r="EG36" i="28"/>
  <c r="EH36" i="28"/>
  <c r="EI36" i="28"/>
  <c r="EJ36" i="28"/>
  <c r="EK36" i="28"/>
  <c r="EL36" i="28"/>
  <c r="EM36" i="28"/>
  <c r="EN36" i="28"/>
  <c r="EO36" i="28"/>
  <c r="EP36" i="28"/>
  <c r="EQ36" i="28"/>
  <c r="ER36" i="28"/>
  <c r="ES36" i="28"/>
  <c r="ET36" i="28"/>
  <c r="EU36" i="28"/>
  <c r="EV36" i="28"/>
  <c r="EW36" i="28"/>
  <c r="EX36" i="28"/>
  <c r="EY36" i="28"/>
  <c r="EZ36" i="28"/>
  <c r="FA36" i="28"/>
  <c r="FB36" i="28"/>
  <c r="FC36" i="28"/>
  <c r="FD36" i="28"/>
  <c r="FE36" i="28"/>
  <c r="FF36" i="28"/>
  <c r="FG36" i="28"/>
  <c r="FH36" i="28"/>
  <c r="FI36" i="28"/>
  <c r="FJ36" i="28"/>
  <c r="FK36" i="28"/>
  <c r="FL36" i="28"/>
  <c r="FM36" i="28"/>
  <c r="FN36" i="28"/>
  <c r="FO36" i="28"/>
  <c r="FP36" i="28"/>
  <c r="FQ36" i="28"/>
  <c r="FR36" i="28"/>
  <c r="FS36" i="28"/>
  <c r="FT36" i="28"/>
  <c r="FU36" i="28"/>
  <c r="FV36" i="28"/>
  <c r="FW36" i="28"/>
  <c r="FX36" i="28"/>
  <c r="FY36" i="28"/>
  <c r="FZ36" i="28"/>
  <c r="GA36" i="28"/>
  <c r="GB36" i="28"/>
  <c r="GC36" i="28"/>
  <c r="GD36" i="28"/>
  <c r="GE36" i="28"/>
  <c r="GF36" i="28"/>
  <c r="GG36" i="28"/>
  <c r="GH36" i="28"/>
  <c r="GI36" i="28"/>
  <c r="GJ36" i="28"/>
  <c r="GK36" i="28"/>
  <c r="GL36" i="28"/>
  <c r="GM36" i="28"/>
  <c r="GN36" i="28"/>
  <c r="GO36" i="28"/>
  <c r="GP36" i="28"/>
  <c r="GQ36" i="28"/>
  <c r="GR36" i="28"/>
  <c r="GS36" i="28"/>
  <c r="GT36" i="28"/>
  <c r="GU36" i="28"/>
  <c r="GV36" i="28"/>
  <c r="GW36" i="28"/>
  <c r="GX36" i="28"/>
  <c r="GY36" i="28"/>
  <c r="GZ36" i="28"/>
  <c r="HA36" i="28"/>
  <c r="HB36" i="28"/>
  <c r="HC36" i="28"/>
  <c r="HD36" i="28"/>
  <c r="HE36" i="28"/>
  <c r="HF36" i="28"/>
  <c r="HG36" i="28"/>
  <c r="HH36" i="28"/>
  <c r="HI36" i="28"/>
  <c r="HJ36" i="28"/>
  <c r="HK36" i="28"/>
  <c r="HL36" i="28"/>
  <c r="HM36" i="28"/>
  <c r="HN36" i="28"/>
  <c r="HO36" i="28"/>
  <c r="HP36" i="28"/>
  <c r="HQ36" i="28"/>
  <c r="HR36" i="28"/>
  <c r="HS36" i="28"/>
  <c r="HT36" i="28"/>
  <c r="HU36" i="28"/>
  <c r="HV36" i="28"/>
  <c r="HW36" i="28"/>
  <c r="HX36" i="28"/>
  <c r="HY36" i="28"/>
  <c r="HZ36" i="28"/>
  <c r="IA36" i="28"/>
  <c r="IB36" i="28"/>
  <c r="IC36" i="28"/>
  <c r="ID36" i="28"/>
  <c r="IE36" i="28"/>
  <c r="IF36" i="28"/>
  <c r="IG36" i="28"/>
  <c r="IH36" i="28"/>
  <c r="II36" i="28"/>
  <c r="IJ36" i="28"/>
  <c r="IK36" i="28"/>
  <c r="IL36" i="28"/>
  <c r="IM36" i="28"/>
  <c r="IN36" i="28"/>
  <c r="IO36" i="28"/>
  <c r="IP36" i="28"/>
  <c r="IQ36" i="28"/>
  <c r="IR36" i="28"/>
  <c r="IS36" i="28"/>
  <c r="IT36" i="28"/>
  <c r="IU36" i="28"/>
  <c r="IV36" i="28"/>
  <c r="A35" i="28"/>
  <c r="B35" i="28"/>
  <c r="C35" i="28"/>
  <c r="D35" i="28"/>
  <c r="E35" i="28"/>
  <c r="F35" i="28"/>
  <c r="G35" i="28"/>
  <c r="H35" i="28"/>
  <c r="I35" i="28"/>
  <c r="J35" i="28"/>
  <c r="K35" i="28"/>
  <c r="L35" i="28"/>
  <c r="M35" i="28"/>
  <c r="N35" i="28"/>
  <c r="O35" i="28"/>
  <c r="P35" i="28"/>
  <c r="Q35" i="28"/>
  <c r="R35" i="28"/>
  <c r="S35" i="28"/>
  <c r="T35" i="28"/>
  <c r="U35" i="28"/>
  <c r="V35" i="28"/>
  <c r="W35" i="28"/>
  <c r="X35" i="28"/>
  <c r="Y35" i="28"/>
  <c r="Z35" i="28"/>
  <c r="AA35" i="28"/>
  <c r="AB35" i="28"/>
  <c r="AC35" i="28"/>
  <c r="AD35" i="28"/>
  <c r="AE35" i="28"/>
  <c r="AF35" i="28"/>
  <c r="AG35" i="28"/>
  <c r="AH35" i="28"/>
  <c r="AI35" i="28"/>
  <c r="AJ35" i="28"/>
  <c r="AK35" i="28"/>
  <c r="AL35" i="28"/>
  <c r="AM35" i="28"/>
  <c r="AN35" i="28"/>
  <c r="AO35" i="28"/>
  <c r="AP35" i="28"/>
  <c r="AQ35" i="28"/>
  <c r="AR35" i="28"/>
  <c r="AS35" i="28"/>
  <c r="AT35" i="28"/>
  <c r="AU35" i="28"/>
  <c r="AV35" i="28"/>
  <c r="AW35" i="28"/>
  <c r="AX35" i="28"/>
  <c r="AY35" i="28"/>
  <c r="AZ35" i="28"/>
  <c r="BA35" i="28"/>
  <c r="BB35" i="28"/>
  <c r="BC35" i="28"/>
  <c r="BD35" i="28"/>
  <c r="BE35" i="28"/>
  <c r="BF35" i="28"/>
  <c r="BG35" i="28"/>
  <c r="BH35" i="28"/>
  <c r="BI35" i="28"/>
  <c r="BJ35" i="28"/>
  <c r="BK35" i="28"/>
  <c r="BL35" i="28"/>
  <c r="BM35" i="28"/>
  <c r="BN35" i="28"/>
  <c r="BO35" i="28"/>
  <c r="BP35" i="28"/>
  <c r="BQ35" i="28"/>
  <c r="BR35" i="28"/>
  <c r="BS35" i="28"/>
  <c r="BT35" i="28"/>
  <c r="BU35" i="28"/>
  <c r="BV35" i="28"/>
  <c r="BW35" i="28"/>
  <c r="BX35" i="28"/>
  <c r="BY35" i="28"/>
  <c r="BZ35" i="28"/>
  <c r="CA35" i="28"/>
  <c r="CB35" i="28"/>
  <c r="CC35" i="28"/>
  <c r="CD35" i="28"/>
  <c r="CE35" i="28"/>
  <c r="CF35" i="28"/>
  <c r="CG35" i="28"/>
  <c r="CH35" i="28"/>
  <c r="CI35" i="28"/>
  <c r="CJ35" i="28"/>
  <c r="CK35" i="28"/>
  <c r="CL35" i="28"/>
  <c r="CM35" i="28"/>
  <c r="CN35" i="28"/>
  <c r="CO35" i="28"/>
  <c r="CP35" i="28"/>
  <c r="CQ35" i="28"/>
  <c r="CR35" i="28"/>
  <c r="CS35" i="28"/>
  <c r="CT35" i="28"/>
  <c r="CU35" i="28"/>
  <c r="CV35" i="28"/>
  <c r="CW35" i="28"/>
  <c r="CX35" i="28"/>
  <c r="CY35" i="28"/>
  <c r="CZ35" i="28"/>
  <c r="DA35" i="28"/>
  <c r="DB35" i="28"/>
  <c r="DC35" i="28"/>
  <c r="DD35" i="28"/>
  <c r="DE35" i="28"/>
  <c r="DF35" i="28"/>
  <c r="DG35" i="28"/>
  <c r="DH35" i="28"/>
  <c r="DI35" i="28"/>
  <c r="DJ35" i="28"/>
  <c r="DK35" i="28"/>
  <c r="DL35" i="28"/>
  <c r="DM35" i="28"/>
  <c r="DN35" i="28"/>
  <c r="DO35" i="28"/>
  <c r="DP35" i="28"/>
  <c r="DQ35" i="28"/>
  <c r="DR35" i="28"/>
  <c r="DS35" i="28"/>
  <c r="DT35" i="28"/>
  <c r="DU35" i="28"/>
  <c r="DV35" i="28"/>
  <c r="DW35" i="28"/>
  <c r="DX35" i="28"/>
  <c r="DY35" i="28"/>
  <c r="DZ35" i="28"/>
  <c r="EA35" i="28"/>
  <c r="EB35" i="28"/>
  <c r="EC35" i="28"/>
  <c r="ED35" i="28"/>
  <c r="EE35" i="28"/>
  <c r="EF35" i="28"/>
  <c r="EG35" i="28"/>
  <c r="EH35" i="28"/>
  <c r="EI35" i="28"/>
  <c r="EJ35" i="28"/>
  <c r="EK35" i="28"/>
  <c r="EL35" i="28"/>
  <c r="EM35" i="28"/>
  <c r="EN35" i="28"/>
  <c r="EO35" i="28"/>
  <c r="EP35" i="28"/>
  <c r="EQ35" i="28"/>
  <c r="ER35" i="28"/>
  <c r="ES35" i="28"/>
  <c r="ET35" i="28"/>
  <c r="EU35" i="28"/>
  <c r="EV35" i="28"/>
  <c r="EW35" i="28"/>
  <c r="EX35" i="28"/>
  <c r="EY35" i="28"/>
  <c r="EZ35" i="28"/>
  <c r="FA35" i="28"/>
  <c r="FB35" i="28"/>
  <c r="FC35" i="28"/>
  <c r="FD35" i="28"/>
  <c r="FE35" i="28"/>
  <c r="FF35" i="28"/>
  <c r="FG35" i="28"/>
  <c r="FH35" i="28"/>
  <c r="FI35" i="28"/>
  <c r="FJ35" i="28"/>
  <c r="FK35" i="28"/>
  <c r="FL35" i="28"/>
  <c r="FM35" i="28"/>
  <c r="FN35" i="28"/>
  <c r="FO35" i="28"/>
  <c r="FP35" i="28"/>
  <c r="FQ35" i="28"/>
  <c r="FR35" i="28"/>
  <c r="FS35" i="28"/>
  <c r="FT35" i="28"/>
  <c r="FU35" i="28"/>
  <c r="FV35" i="28"/>
  <c r="FW35" i="28"/>
  <c r="FX35" i="28"/>
  <c r="FY35" i="28"/>
  <c r="FZ35" i="28"/>
  <c r="GA35" i="28"/>
  <c r="GB35" i="28"/>
  <c r="GC35" i="28"/>
  <c r="GD35" i="28"/>
  <c r="GE35" i="28"/>
  <c r="GF35" i="28"/>
  <c r="GG35" i="28"/>
  <c r="GH35" i="28"/>
  <c r="GI35" i="28"/>
  <c r="GJ35" i="28"/>
  <c r="GK35" i="28"/>
  <c r="GL35" i="28"/>
  <c r="GM35" i="28"/>
  <c r="GN35" i="28"/>
  <c r="GO35" i="28"/>
  <c r="GP35" i="28"/>
  <c r="GQ35" i="28"/>
  <c r="GR35" i="28"/>
  <c r="GS35" i="28"/>
  <c r="GT35" i="28"/>
  <c r="GU35" i="28"/>
  <c r="GV35" i="28"/>
  <c r="GW35" i="28"/>
  <c r="GX35" i="28"/>
  <c r="GY35" i="28"/>
  <c r="GZ35" i="28"/>
  <c r="HA35" i="28"/>
  <c r="HB35" i="28"/>
  <c r="HC35" i="28"/>
  <c r="HD35" i="28"/>
  <c r="HE35" i="28"/>
  <c r="HF35" i="28"/>
  <c r="HG35" i="28"/>
  <c r="HH35" i="28"/>
  <c r="HI35" i="28"/>
  <c r="HJ35" i="28"/>
  <c r="HK35" i="28"/>
  <c r="HL35" i="28"/>
  <c r="HM35" i="28"/>
  <c r="HN35" i="28"/>
  <c r="HO35" i="28"/>
  <c r="HP35" i="28"/>
  <c r="HQ35" i="28"/>
  <c r="HR35" i="28"/>
  <c r="HS35" i="28"/>
  <c r="HT35" i="28"/>
  <c r="HU35" i="28"/>
  <c r="HV35" i="28"/>
  <c r="HW35" i="28"/>
  <c r="HX35" i="28"/>
  <c r="HY35" i="28"/>
  <c r="HZ35" i="28"/>
  <c r="IA35" i="28"/>
  <c r="IB35" i="28"/>
  <c r="IC35" i="28"/>
  <c r="ID35" i="28"/>
  <c r="IE35" i="28"/>
  <c r="IF35" i="28"/>
  <c r="IG35" i="28"/>
  <c r="IH35" i="28"/>
  <c r="II35" i="28"/>
  <c r="IJ35" i="28"/>
  <c r="IK35" i="28"/>
  <c r="IL35" i="28"/>
  <c r="IM35" i="28"/>
  <c r="IN35" i="28"/>
  <c r="IO35" i="28"/>
  <c r="IP35" i="28"/>
  <c r="IQ35" i="28"/>
  <c r="IR35" i="28"/>
  <c r="IS35" i="28"/>
  <c r="IT35" i="28"/>
  <c r="IU35" i="28"/>
  <c r="IV35" i="28"/>
  <c r="A34" i="28"/>
  <c r="B34" i="28"/>
  <c r="C34" i="28"/>
  <c r="D34" i="28"/>
  <c r="E34" i="28"/>
  <c r="F34" i="28"/>
  <c r="G34" i="28"/>
  <c r="H34" i="28"/>
  <c r="I34" i="28"/>
  <c r="J34" i="28"/>
  <c r="K34" i="28"/>
  <c r="L34" i="28"/>
  <c r="M34" i="28"/>
  <c r="N34" i="28"/>
  <c r="O34" i="28"/>
  <c r="P34" i="28"/>
  <c r="Q34" i="28"/>
  <c r="R34" i="28"/>
  <c r="S34" i="28"/>
  <c r="T34" i="28"/>
  <c r="U34" i="28"/>
  <c r="V34" i="28"/>
  <c r="W34" i="28"/>
  <c r="X34" i="28"/>
  <c r="Y34" i="28"/>
  <c r="Z34" i="28"/>
  <c r="AA34" i="28"/>
  <c r="AB34" i="28"/>
  <c r="AC34" i="28"/>
  <c r="AD34" i="28"/>
  <c r="AE34" i="28"/>
  <c r="AF34" i="28"/>
  <c r="AG34" i="28"/>
  <c r="AH34" i="28"/>
  <c r="AI34" i="28"/>
  <c r="AJ34" i="28"/>
  <c r="AK34" i="28"/>
  <c r="AL34" i="28"/>
  <c r="AM34" i="28"/>
  <c r="AN34" i="28"/>
  <c r="AO34" i="28"/>
  <c r="AP34" i="28"/>
  <c r="AQ34" i="28"/>
  <c r="AR34" i="28"/>
  <c r="AS34" i="28"/>
  <c r="AT34" i="28"/>
  <c r="AU34" i="28"/>
  <c r="AV34" i="28"/>
  <c r="AW34" i="28"/>
  <c r="AX34" i="28"/>
  <c r="AY34" i="28"/>
  <c r="AZ34" i="28"/>
  <c r="BA34" i="28"/>
  <c r="BB34" i="28"/>
  <c r="BC34" i="28"/>
  <c r="BD34" i="28"/>
  <c r="BE34" i="28"/>
  <c r="BF34" i="28"/>
  <c r="BG34" i="28"/>
  <c r="BH34" i="28"/>
  <c r="BI34" i="28"/>
  <c r="BJ34" i="28"/>
  <c r="BK34" i="28"/>
  <c r="BL34" i="28"/>
  <c r="BM34" i="28"/>
  <c r="BN34" i="28"/>
  <c r="BO34" i="28"/>
  <c r="BP34" i="28"/>
  <c r="BQ34" i="28"/>
  <c r="BR34" i="28"/>
  <c r="BS34" i="28"/>
  <c r="BT34" i="28"/>
  <c r="BU34" i="28"/>
  <c r="BV34" i="28"/>
  <c r="BW34" i="28"/>
  <c r="BX34" i="28"/>
  <c r="BY34" i="28"/>
  <c r="BZ34" i="28"/>
  <c r="CA34" i="28"/>
  <c r="CB34" i="28"/>
  <c r="CC34" i="28"/>
  <c r="CD34" i="28"/>
  <c r="CE34" i="28"/>
  <c r="CF34" i="28"/>
  <c r="CG34" i="28"/>
  <c r="CH34" i="28"/>
  <c r="CI34" i="28"/>
  <c r="CJ34" i="28"/>
  <c r="CK34" i="28"/>
  <c r="CL34" i="28"/>
  <c r="CM34" i="28"/>
  <c r="CN34" i="28"/>
  <c r="CO34" i="28"/>
  <c r="CP34" i="28"/>
  <c r="CQ34" i="28"/>
  <c r="CR34" i="28"/>
  <c r="CS34" i="28"/>
  <c r="CT34" i="28"/>
  <c r="CU34" i="28"/>
  <c r="CV34" i="28"/>
  <c r="CW34" i="28"/>
  <c r="CX34" i="28"/>
  <c r="CY34" i="28"/>
  <c r="CZ34" i="28"/>
  <c r="DA34" i="28"/>
  <c r="DB34" i="28"/>
  <c r="DC34" i="28"/>
  <c r="DD34" i="28"/>
  <c r="DE34" i="28"/>
  <c r="DF34" i="28"/>
  <c r="DG34" i="28"/>
  <c r="DH34" i="28"/>
  <c r="DI34" i="28"/>
  <c r="DJ34" i="28"/>
  <c r="DK34" i="28"/>
  <c r="DL34" i="28"/>
  <c r="DM34" i="28"/>
  <c r="DN34" i="28"/>
  <c r="DO34" i="28"/>
  <c r="DP34" i="28"/>
  <c r="DQ34" i="28"/>
  <c r="DR34" i="28"/>
  <c r="DS34" i="28"/>
  <c r="DT34" i="28"/>
  <c r="DU34" i="28"/>
  <c r="DV34" i="28"/>
  <c r="DW34" i="28"/>
  <c r="DX34" i="28"/>
  <c r="DY34" i="28"/>
  <c r="DZ34" i="28"/>
  <c r="EA34" i="28"/>
  <c r="EB34" i="28"/>
  <c r="EC34" i="28"/>
  <c r="ED34" i="28"/>
  <c r="EE34" i="28"/>
  <c r="EF34" i="28"/>
  <c r="EG34" i="28"/>
  <c r="EH34" i="28"/>
  <c r="EI34" i="28"/>
  <c r="EJ34" i="28"/>
  <c r="EK34" i="28"/>
  <c r="EL34" i="28"/>
  <c r="EM34" i="28"/>
  <c r="EN34" i="28"/>
  <c r="EO34" i="28"/>
  <c r="EP34" i="28"/>
  <c r="EQ34" i="28"/>
  <c r="ER34" i="28"/>
  <c r="ES34" i="28"/>
  <c r="ET34" i="28"/>
  <c r="EU34" i="28"/>
  <c r="EV34" i="28"/>
  <c r="EW34" i="28"/>
  <c r="EX34" i="28"/>
  <c r="EY34" i="28"/>
  <c r="EZ34" i="28"/>
  <c r="FA34" i="28"/>
  <c r="FB34" i="28"/>
  <c r="FC34" i="28"/>
  <c r="FD34" i="28"/>
  <c r="FE34" i="28"/>
  <c r="FF34" i="28"/>
  <c r="FG34" i="28"/>
  <c r="FH34" i="28"/>
  <c r="FI34" i="28"/>
  <c r="FJ34" i="28"/>
  <c r="FK34" i="28"/>
  <c r="FL34" i="28"/>
  <c r="FM34" i="28"/>
  <c r="FN34" i="28"/>
  <c r="FO34" i="28"/>
  <c r="FP34" i="28"/>
  <c r="FQ34" i="28"/>
  <c r="FR34" i="28"/>
  <c r="FS34" i="28"/>
  <c r="FT34" i="28"/>
  <c r="FU34" i="28"/>
  <c r="FV34" i="28"/>
  <c r="FW34" i="28"/>
  <c r="FX34" i="28"/>
  <c r="FY34" i="28"/>
  <c r="FZ34" i="28"/>
  <c r="GA34" i="28"/>
  <c r="GB34" i="28"/>
  <c r="GC34" i="28"/>
  <c r="GD34" i="28"/>
  <c r="GE34" i="28"/>
  <c r="GF34" i="28"/>
  <c r="GG34" i="28"/>
  <c r="GH34" i="28"/>
  <c r="GI34" i="28"/>
  <c r="GJ34" i="28"/>
  <c r="GK34" i="28"/>
  <c r="GL34" i="28"/>
  <c r="GM34" i="28"/>
  <c r="GN34" i="28"/>
  <c r="GO34" i="28"/>
  <c r="GP34" i="28"/>
  <c r="GQ34" i="28"/>
  <c r="GR34" i="28"/>
  <c r="GS34" i="28"/>
  <c r="GT34" i="28"/>
  <c r="GU34" i="28"/>
  <c r="GV34" i="28"/>
  <c r="GW34" i="28"/>
  <c r="GX34" i="28"/>
  <c r="GY34" i="28"/>
  <c r="GZ34" i="28"/>
  <c r="HA34" i="28"/>
  <c r="HB34" i="28"/>
  <c r="HC34" i="28"/>
  <c r="HD34" i="28"/>
  <c r="HE34" i="28"/>
  <c r="HF34" i="28"/>
  <c r="HG34" i="28"/>
  <c r="HH34" i="28"/>
  <c r="HI34" i="28"/>
  <c r="HJ34" i="28"/>
  <c r="HK34" i="28"/>
  <c r="HL34" i="28"/>
  <c r="HM34" i="28"/>
  <c r="HN34" i="28"/>
  <c r="HO34" i="28"/>
  <c r="HP34" i="28"/>
  <c r="HQ34" i="28"/>
  <c r="HR34" i="28"/>
  <c r="HS34" i="28"/>
  <c r="HT34" i="28"/>
  <c r="HU34" i="28"/>
  <c r="HV34" i="28"/>
  <c r="HW34" i="28"/>
  <c r="HX34" i="28"/>
  <c r="HY34" i="28"/>
  <c r="HZ34" i="28"/>
  <c r="IA34" i="28"/>
  <c r="IB34" i="28"/>
  <c r="IC34" i="28"/>
  <c r="ID34" i="28"/>
  <c r="IE34" i="28"/>
  <c r="IF34" i="28"/>
  <c r="IG34" i="28"/>
  <c r="IH34" i="28"/>
  <c r="II34" i="28"/>
  <c r="IJ34" i="28"/>
  <c r="IK34" i="28"/>
  <c r="IL34" i="28"/>
  <c r="IM34" i="28"/>
  <c r="IN34" i="28"/>
  <c r="IO34" i="28"/>
  <c r="IP34" i="28"/>
  <c r="IQ34" i="28"/>
  <c r="IR34" i="28"/>
  <c r="IS34" i="28"/>
  <c r="IT34" i="28"/>
  <c r="IU34" i="28"/>
  <c r="IV34" i="28"/>
  <c r="A33" i="28"/>
  <c r="B33" i="28"/>
  <c r="C33" i="28"/>
  <c r="D33" i="28"/>
  <c r="E33" i="28"/>
  <c r="F33" i="28"/>
  <c r="G33" i="28"/>
  <c r="H33" i="28"/>
  <c r="I33" i="28"/>
  <c r="J33" i="28"/>
  <c r="K33" i="28"/>
  <c r="L33" i="28"/>
  <c r="M33" i="28"/>
  <c r="N33" i="28"/>
  <c r="O33" i="28"/>
  <c r="P33" i="28"/>
  <c r="Q33" i="28"/>
  <c r="R33" i="28"/>
  <c r="S33" i="28"/>
  <c r="T33" i="28"/>
  <c r="U33" i="28"/>
  <c r="V33" i="28"/>
  <c r="W33" i="28"/>
  <c r="X33" i="28"/>
  <c r="Y33" i="28"/>
  <c r="Z33" i="28"/>
  <c r="AA33" i="28"/>
  <c r="AB33" i="28"/>
  <c r="AC33" i="28"/>
  <c r="AD33" i="28"/>
  <c r="AE33" i="28"/>
  <c r="AF33" i="28"/>
  <c r="AG33" i="28"/>
  <c r="AH33" i="28"/>
  <c r="AI33" i="28"/>
  <c r="AJ33" i="28"/>
  <c r="AK33" i="28"/>
  <c r="AL33" i="28"/>
  <c r="AM33" i="28"/>
  <c r="AN33" i="28"/>
  <c r="AO33" i="28"/>
  <c r="AP33" i="28"/>
  <c r="AQ33" i="28"/>
  <c r="AR33" i="28"/>
  <c r="AS33" i="28"/>
  <c r="AT33" i="28"/>
  <c r="AU33" i="28"/>
  <c r="AV33" i="28"/>
  <c r="AW33" i="28"/>
  <c r="AX33" i="28"/>
  <c r="AY33" i="28"/>
  <c r="AZ33" i="28"/>
  <c r="BA33" i="28"/>
  <c r="BB33" i="28"/>
  <c r="BC33" i="28"/>
  <c r="BD33" i="28"/>
  <c r="BE33" i="28"/>
  <c r="BF33" i="28"/>
  <c r="BG33" i="28"/>
  <c r="BH33" i="28"/>
  <c r="BI33" i="28"/>
  <c r="BJ33" i="28"/>
  <c r="BK33" i="28"/>
  <c r="BL33" i="28"/>
  <c r="BM33" i="28"/>
  <c r="BN33" i="28"/>
  <c r="BO33" i="28"/>
  <c r="BP33" i="28"/>
  <c r="BQ33" i="28"/>
  <c r="BR33" i="28"/>
  <c r="BS33" i="28"/>
  <c r="BT33" i="28"/>
  <c r="BU33" i="28"/>
  <c r="BV33" i="28"/>
  <c r="BW33" i="28"/>
  <c r="BX33" i="28"/>
  <c r="BY33" i="28"/>
  <c r="BZ33" i="28"/>
  <c r="CA33" i="28"/>
  <c r="CB33" i="28"/>
  <c r="CC33" i="28"/>
  <c r="CD33" i="28"/>
  <c r="CE33" i="28"/>
  <c r="CF33" i="28"/>
  <c r="CG33" i="28"/>
  <c r="CH33" i="28"/>
  <c r="CI33" i="28"/>
  <c r="CJ33" i="28"/>
  <c r="CK33" i="28"/>
  <c r="CL33" i="28"/>
  <c r="CM33" i="28"/>
  <c r="CN33" i="28"/>
  <c r="CO33" i="28"/>
  <c r="CP33" i="28"/>
  <c r="CQ33" i="28"/>
  <c r="CR33" i="28"/>
  <c r="CS33" i="28"/>
  <c r="CT33" i="28"/>
  <c r="CU33" i="28"/>
  <c r="CV33" i="28"/>
  <c r="CW33" i="28"/>
  <c r="CX33" i="28"/>
  <c r="CY33" i="28"/>
  <c r="CZ33" i="28"/>
  <c r="DA33" i="28"/>
  <c r="DB33" i="28"/>
  <c r="DC33" i="28"/>
  <c r="DD33" i="28"/>
  <c r="DE33" i="28"/>
  <c r="DF33" i="28"/>
  <c r="DG33" i="28"/>
  <c r="DH33" i="28"/>
  <c r="DI33" i="28"/>
  <c r="DJ33" i="28"/>
  <c r="DK33" i="28"/>
  <c r="DL33" i="28"/>
  <c r="DM33" i="28"/>
  <c r="DN33" i="28"/>
  <c r="DO33" i="28"/>
  <c r="DP33" i="28"/>
  <c r="DQ33" i="28"/>
  <c r="DR33" i="28"/>
  <c r="DS33" i="28"/>
  <c r="DT33" i="28"/>
  <c r="DU33" i="28"/>
  <c r="DV33" i="28"/>
  <c r="DW33" i="28"/>
  <c r="DX33" i="28"/>
  <c r="DY33" i="28"/>
  <c r="DZ33" i="28"/>
  <c r="EA33" i="28"/>
  <c r="EB33" i="28"/>
  <c r="EC33" i="28"/>
  <c r="ED33" i="28"/>
  <c r="EE33" i="28"/>
  <c r="EF33" i="28"/>
  <c r="EG33" i="28"/>
  <c r="EH33" i="28"/>
  <c r="EI33" i="28"/>
  <c r="EJ33" i="28"/>
  <c r="EK33" i="28"/>
  <c r="EL33" i="28"/>
  <c r="EM33" i="28"/>
  <c r="EN33" i="28"/>
  <c r="EO33" i="28"/>
  <c r="EP33" i="28"/>
  <c r="EQ33" i="28"/>
  <c r="ER33" i="28"/>
  <c r="ES33" i="28"/>
  <c r="ET33" i="28"/>
  <c r="EU33" i="28"/>
  <c r="EV33" i="28"/>
  <c r="EW33" i="28"/>
  <c r="EX33" i="28"/>
  <c r="EY33" i="28"/>
  <c r="EZ33" i="28"/>
  <c r="FA33" i="28"/>
  <c r="FB33" i="28"/>
  <c r="FC33" i="28"/>
  <c r="FD33" i="28"/>
  <c r="FE33" i="28"/>
  <c r="FF33" i="28"/>
  <c r="FG33" i="28"/>
  <c r="FH33" i="28"/>
  <c r="FI33" i="28"/>
  <c r="FJ33" i="28"/>
  <c r="FK33" i="28"/>
  <c r="FL33" i="28"/>
  <c r="FM33" i="28"/>
  <c r="FN33" i="28"/>
  <c r="FO33" i="28"/>
  <c r="FP33" i="28"/>
  <c r="FQ33" i="28"/>
  <c r="FR33" i="28"/>
  <c r="FS33" i="28"/>
  <c r="FT33" i="28"/>
  <c r="FU33" i="28"/>
  <c r="FV33" i="28"/>
  <c r="FW33" i="28"/>
  <c r="FX33" i="28"/>
  <c r="FY33" i="28"/>
  <c r="FZ33" i="28"/>
  <c r="GA33" i="28"/>
  <c r="GB33" i="28"/>
  <c r="GC33" i="28"/>
  <c r="GD33" i="28"/>
  <c r="GE33" i="28"/>
  <c r="GF33" i="28"/>
  <c r="GG33" i="28"/>
  <c r="GH33" i="28"/>
  <c r="GI33" i="28"/>
  <c r="GJ33" i="28"/>
  <c r="GK33" i="28"/>
  <c r="GL33" i="28"/>
  <c r="GM33" i="28"/>
  <c r="GN33" i="28"/>
  <c r="GO33" i="28"/>
  <c r="GP33" i="28"/>
  <c r="GQ33" i="28"/>
  <c r="GR33" i="28"/>
  <c r="GS33" i="28"/>
  <c r="GT33" i="28"/>
  <c r="GU33" i="28"/>
  <c r="GV33" i="28"/>
  <c r="GW33" i="28"/>
  <c r="GX33" i="28"/>
  <c r="GY33" i="28"/>
  <c r="GZ33" i="28"/>
  <c r="HA33" i="28"/>
  <c r="HB33" i="28"/>
  <c r="HC33" i="28"/>
  <c r="HD33" i="28"/>
  <c r="HE33" i="28"/>
  <c r="HF33" i="28"/>
  <c r="HG33" i="28"/>
  <c r="HH33" i="28"/>
  <c r="HI33" i="28"/>
  <c r="HJ33" i="28"/>
  <c r="HK33" i="28"/>
  <c r="HL33" i="28"/>
  <c r="HM33" i="28"/>
  <c r="HN33" i="28"/>
  <c r="HO33" i="28"/>
  <c r="HP33" i="28"/>
  <c r="HQ33" i="28"/>
  <c r="HR33" i="28"/>
  <c r="HS33" i="28"/>
  <c r="HT33" i="28"/>
  <c r="HU33" i="28"/>
  <c r="HV33" i="28"/>
  <c r="HW33" i="28"/>
  <c r="HX33" i="28"/>
  <c r="HY33" i="28"/>
  <c r="HZ33" i="28"/>
  <c r="IA33" i="28"/>
  <c r="IB33" i="28"/>
  <c r="IC33" i="28"/>
  <c r="ID33" i="28"/>
  <c r="IE33" i="28"/>
  <c r="IF33" i="28"/>
  <c r="IG33" i="28"/>
  <c r="IH33" i="28"/>
  <c r="II33" i="28"/>
  <c r="IJ33" i="28"/>
  <c r="IK33" i="28"/>
  <c r="IL33" i="28"/>
  <c r="IM33" i="28"/>
  <c r="IN33" i="28"/>
  <c r="IO33" i="28"/>
  <c r="IP33" i="28"/>
  <c r="IQ33" i="28"/>
  <c r="IR33" i="28"/>
  <c r="IS33" i="28"/>
  <c r="IT33" i="28"/>
  <c r="IU33" i="28"/>
  <c r="IV33" i="28"/>
  <c r="A32" i="28"/>
  <c r="B32" i="28"/>
  <c r="C32" i="28"/>
  <c r="D32" i="28"/>
  <c r="E32" i="28"/>
  <c r="F32" i="28"/>
  <c r="G32" i="28"/>
  <c r="H32" i="28"/>
  <c r="I32" i="28"/>
  <c r="J32" i="28"/>
  <c r="K32" i="28"/>
  <c r="L32" i="28"/>
  <c r="M32" i="28"/>
  <c r="N32" i="28"/>
  <c r="O32" i="28"/>
  <c r="P32" i="28"/>
  <c r="Q32" i="28"/>
  <c r="R32" i="28"/>
  <c r="S32" i="28"/>
  <c r="T32" i="28"/>
  <c r="U32" i="28"/>
  <c r="V32" i="28"/>
  <c r="W32" i="28"/>
  <c r="X32" i="28"/>
  <c r="Y32" i="28"/>
  <c r="Z32" i="28"/>
  <c r="AA32" i="28"/>
  <c r="AB32" i="28"/>
  <c r="AC32" i="28"/>
  <c r="AD32" i="28"/>
  <c r="AE32" i="28"/>
  <c r="AF32" i="28"/>
  <c r="AG32" i="28"/>
  <c r="AH32" i="28"/>
  <c r="AI32" i="28"/>
  <c r="AJ32" i="28"/>
  <c r="AK32" i="28"/>
  <c r="AL32" i="28"/>
  <c r="AM32" i="28"/>
  <c r="AN32" i="28"/>
  <c r="AO32" i="28"/>
  <c r="AP32" i="28"/>
  <c r="AQ32" i="28"/>
  <c r="AR32" i="28"/>
  <c r="AS32" i="28"/>
  <c r="AT32" i="28"/>
  <c r="AU32" i="28"/>
  <c r="AV32" i="28"/>
  <c r="AW32" i="28"/>
  <c r="AX32" i="28"/>
  <c r="AY32" i="28"/>
  <c r="AZ32" i="28"/>
  <c r="BA32" i="28"/>
  <c r="BB32" i="28"/>
  <c r="BC32" i="28"/>
  <c r="BD32" i="28"/>
  <c r="BE32" i="28"/>
  <c r="BF32" i="28"/>
  <c r="BG32" i="28"/>
  <c r="BH32" i="28"/>
  <c r="BI32" i="28"/>
  <c r="BJ32" i="28"/>
  <c r="BK32" i="28"/>
  <c r="BL32" i="28"/>
  <c r="BM32" i="28"/>
  <c r="BN32" i="28"/>
  <c r="BO32" i="28"/>
  <c r="BP32" i="28"/>
  <c r="BQ32" i="28"/>
  <c r="BR32" i="28"/>
  <c r="BS32" i="28"/>
  <c r="BT32" i="28"/>
  <c r="BU32" i="28"/>
  <c r="BV32" i="28"/>
  <c r="BW32" i="28"/>
  <c r="BX32" i="28"/>
  <c r="BY32" i="28"/>
  <c r="BZ32" i="28"/>
  <c r="CA32" i="28"/>
  <c r="CB32" i="28"/>
  <c r="CC32" i="28"/>
  <c r="CD32" i="28"/>
  <c r="CE32" i="28"/>
  <c r="CF32" i="28"/>
  <c r="CG32" i="28"/>
  <c r="CH32" i="28"/>
  <c r="CI32" i="28"/>
  <c r="CJ32" i="28"/>
  <c r="CK32" i="28"/>
  <c r="CL32" i="28"/>
  <c r="CM32" i="28"/>
  <c r="CN32" i="28"/>
  <c r="CO32" i="28"/>
  <c r="CP32" i="28"/>
  <c r="CQ32" i="28"/>
  <c r="CR32" i="28"/>
  <c r="CS32" i="28"/>
  <c r="CT32" i="28"/>
  <c r="CU32" i="28"/>
  <c r="CV32" i="28"/>
  <c r="CW32" i="28"/>
  <c r="CX32" i="28"/>
  <c r="CY32" i="28"/>
  <c r="CZ32" i="28"/>
  <c r="DA32" i="28"/>
  <c r="DB32" i="28"/>
  <c r="DC32" i="28"/>
  <c r="DD32" i="28"/>
  <c r="DE32" i="28"/>
  <c r="DF32" i="28"/>
  <c r="DG32" i="28"/>
  <c r="DH32" i="28"/>
  <c r="DI32" i="28"/>
  <c r="DJ32" i="28"/>
  <c r="DK32" i="28"/>
  <c r="DL32" i="28"/>
  <c r="DM32" i="28"/>
  <c r="DN32" i="28"/>
  <c r="DO32" i="28"/>
  <c r="DP32" i="28"/>
  <c r="DQ32" i="28"/>
  <c r="DR32" i="28"/>
  <c r="DS32" i="28"/>
  <c r="DT32" i="28"/>
  <c r="DU32" i="28"/>
  <c r="DV32" i="28"/>
  <c r="DW32" i="28"/>
  <c r="DX32" i="28"/>
  <c r="DY32" i="28"/>
  <c r="DZ32" i="28"/>
  <c r="EA32" i="28"/>
  <c r="EB32" i="28"/>
  <c r="EC32" i="28"/>
  <c r="ED32" i="28"/>
  <c r="EE32" i="28"/>
  <c r="EF32" i="28"/>
  <c r="EG32" i="28"/>
  <c r="EH32" i="28"/>
  <c r="EI32" i="28"/>
  <c r="EJ32" i="28"/>
  <c r="EK32" i="28"/>
  <c r="EL32" i="28"/>
  <c r="EM32" i="28"/>
  <c r="EN32" i="28"/>
  <c r="EO32" i="28"/>
  <c r="EP32" i="28"/>
  <c r="EQ32" i="28"/>
  <c r="ER32" i="28"/>
  <c r="ES32" i="28"/>
  <c r="ET32" i="28"/>
  <c r="EU32" i="28"/>
  <c r="EV32" i="28"/>
  <c r="EW32" i="28"/>
  <c r="EX32" i="28"/>
  <c r="EY32" i="28"/>
  <c r="EZ32" i="28"/>
  <c r="FA32" i="28"/>
  <c r="FB32" i="28"/>
  <c r="FC32" i="28"/>
  <c r="FD32" i="28"/>
  <c r="FE32" i="28"/>
  <c r="FF32" i="28"/>
  <c r="FG32" i="28"/>
  <c r="FH32" i="28"/>
  <c r="FI32" i="28"/>
  <c r="FJ32" i="28"/>
  <c r="FK32" i="28"/>
  <c r="FL32" i="28"/>
  <c r="FM32" i="28"/>
  <c r="FN32" i="28"/>
  <c r="FO32" i="28"/>
  <c r="FP32" i="28"/>
  <c r="FQ32" i="28"/>
  <c r="FR32" i="28"/>
  <c r="FS32" i="28"/>
  <c r="FT32" i="28"/>
  <c r="FU32" i="28"/>
  <c r="FV32" i="28"/>
  <c r="FW32" i="28"/>
  <c r="FX32" i="28"/>
  <c r="FY32" i="28"/>
  <c r="FZ32" i="28"/>
  <c r="GA32" i="28"/>
  <c r="GB32" i="28"/>
  <c r="GC32" i="28"/>
  <c r="GD32" i="28"/>
  <c r="GE32" i="28"/>
  <c r="GF32" i="28"/>
  <c r="GG32" i="28"/>
  <c r="GH32" i="28"/>
  <c r="GI32" i="28"/>
  <c r="GJ32" i="28"/>
  <c r="GK32" i="28"/>
  <c r="GL32" i="28"/>
  <c r="GM32" i="28"/>
  <c r="GN32" i="28"/>
  <c r="GO32" i="28"/>
  <c r="GP32" i="28"/>
  <c r="GQ32" i="28"/>
  <c r="GR32" i="28"/>
  <c r="GS32" i="28"/>
  <c r="GT32" i="28"/>
  <c r="GU32" i="28"/>
  <c r="GV32" i="28"/>
  <c r="GW32" i="28"/>
  <c r="GX32" i="28"/>
  <c r="GY32" i="28"/>
  <c r="GZ32" i="28"/>
  <c r="HA32" i="28"/>
  <c r="HB32" i="28"/>
  <c r="HC32" i="28"/>
  <c r="HD32" i="28"/>
  <c r="HE32" i="28"/>
  <c r="HF32" i="28"/>
  <c r="HG32" i="28"/>
  <c r="HH32" i="28"/>
  <c r="HI32" i="28"/>
  <c r="HJ32" i="28"/>
  <c r="HK32" i="28"/>
  <c r="HL32" i="28"/>
  <c r="HM32" i="28"/>
  <c r="HN32" i="28"/>
  <c r="HO32" i="28"/>
  <c r="HP32" i="28"/>
  <c r="HQ32" i="28"/>
  <c r="HR32" i="28"/>
  <c r="HS32" i="28"/>
  <c r="HT32" i="28"/>
  <c r="HU32" i="28"/>
  <c r="HV32" i="28"/>
  <c r="HW32" i="28"/>
  <c r="HX32" i="28"/>
  <c r="HY32" i="28"/>
  <c r="HZ32" i="28"/>
  <c r="IA32" i="28"/>
  <c r="IB32" i="28"/>
  <c r="IC32" i="28"/>
  <c r="ID32" i="28"/>
  <c r="IE32" i="28"/>
  <c r="IF32" i="28"/>
  <c r="IG32" i="28"/>
  <c r="IH32" i="28"/>
  <c r="II32" i="28"/>
  <c r="IJ32" i="28"/>
  <c r="IK32" i="28"/>
  <c r="IL32" i="28"/>
  <c r="IM32" i="28"/>
  <c r="IN32" i="28"/>
  <c r="IO32" i="28"/>
  <c r="IP32" i="28"/>
  <c r="IQ32" i="28"/>
  <c r="IR32" i="28"/>
  <c r="IS32" i="28"/>
  <c r="IT32" i="28"/>
  <c r="IU32" i="28"/>
  <c r="IV32" i="28"/>
  <c r="A31" i="28"/>
  <c r="B31" i="28"/>
  <c r="C31" i="28"/>
  <c r="D31" i="28"/>
  <c r="E31" i="28"/>
  <c r="F31" i="28"/>
  <c r="G31" i="28"/>
  <c r="H31" i="28"/>
  <c r="I31" i="28"/>
  <c r="J31" i="28"/>
  <c r="K31" i="28"/>
  <c r="L31" i="28"/>
  <c r="M31" i="28"/>
  <c r="N31" i="28"/>
  <c r="O31" i="28"/>
  <c r="P31" i="28"/>
  <c r="Q31" i="28"/>
  <c r="R31" i="28"/>
  <c r="S31" i="28"/>
  <c r="T31" i="28"/>
  <c r="U31" i="28"/>
  <c r="V31" i="28"/>
  <c r="W31" i="28"/>
  <c r="X31" i="28"/>
  <c r="Y31" i="28"/>
  <c r="Z31" i="28"/>
  <c r="AA31" i="28"/>
  <c r="AB31" i="28"/>
  <c r="AC31" i="28"/>
  <c r="AD31" i="28"/>
  <c r="AE31" i="28"/>
  <c r="AF31" i="28"/>
  <c r="AG31" i="28"/>
  <c r="AH31" i="28"/>
  <c r="AI31" i="28"/>
  <c r="AJ31" i="28"/>
  <c r="AK31" i="28"/>
  <c r="AL31" i="28"/>
  <c r="AM31" i="28"/>
  <c r="AN31" i="28"/>
  <c r="AO31" i="28"/>
  <c r="AP31" i="28"/>
  <c r="AQ31" i="28"/>
  <c r="AR31" i="28"/>
  <c r="AS31" i="28"/>
  <c r="AT31" i="28"/>
  <c r="AU31" i="28"/>
  <c r="AV31" i="28"/>
  <c r="AW31" i="28"/>
  <c r="AX31" i="28"/>
  <c r="AY31" i="28"/>
  <c r="AZ31" i="28"/>
  <c r="BA31" i="28"/>
  <c r="BB31" i="28"/>
  <c r="BC31" i="28"/>
  <c r="BD31" i="28"/>
  <c r="BE31" i="28"/>
  <c r="BF31" i="28"/>
  <c r="BG31" i="28"/>
  <c r="BH31" i="28"/>
  <c r="BI31" i="28"/>
  <c r="BJ31" i="28"/>
  <c r="BK31" i="28"/>
  <c r="BL31" i="28"/>
  <c r="BM31" i="28"/>
  <c r="BN31" i="28"/>
  <c r="BO31" i="28"/>
  <c r="BP31" i="28"/>
  <c r="BQ31" i="28"/>
  <c r="BR31" i="28"/>
  <c r="BS31" i="28"/>
  <c r="BT31" i="28"/>
  <c r="BU31" i="28"/>
  <c r="BV31" i="28"/>
  <c r="BW31" i="28"/>
  <c r="BX31" i="28"/>
  <c r="BY31" i="28"/>
  <c r="BZ31" i="28"/>
  <c r="CA31" i="28"/>
  <c r="CB31" i="28"/>
  <c r="CC31" i="28"/>
  <c r="CD31" i="28"/>
  <c r="CE31" i="28"/>
  <c r="CF31" i="28"/>
  <c r="CG31" i="28"/>
  <c r="CH31" i="28"/>
  <c r="CI31" i="28"/>
  <c r="CJ31" i="28"/>
  <c r="CK31" i="28"/>
  <c r="CL31" i="28"/>
  <c r="CM31" i="28"/>
  <c r="CN31" i="28"/>
  <c r="CO31" i="28"/>
  <c r="CP31" i="28"/>
  <c r="CQ31" i="28"/>
  <c r="CR31" i="28"/>
  <c r="CS31" i="28"/>
  <c r="CT31" i="28"/>
  <c r="CU31" i="28"/>
  <c r="CV31" i="28"/>
  <c r="CW31" i="28"/>
  <c r="CX31" i="28"/>
  <c r="CY31" i="28"/>
  <c r="CZ31" i="28"/>
  <c r="DA31" i="28"/>
  <c r="DB31" i="28"/>
  <c r="DC31" i="28"/>
  <c r="DD31" i="28"/>
  <c r="DE31" i="28"/>
  <c r="DF31" i="28"/>
  <c r="DG31" i="28"/>
  <c r="DH31" i="28"/>
  <c r="DI31" i="28"/>
  <c r="DJ31" i="28"/>
  <c r="DK31" i="28"/>
  <c r="DL31" i="28"/>
  <c r="DM31" i="28"/>
  <c r="DN31" i="28"/>
  <c r="DO31" i="28"/>
  <c r="DP31" i="28"/>
  <c r="DQ31" i="28"/>
  <c r="DR31" i="28"/>
  <c r="DS31" i="28"/>
  <c r="DT31" i="28"/>
  <c r="DU31" i="28"/>
  <c r="DV31" i="28"/>
  <c r="DW31" i="28"/>
  <c r="DX31" i="28"/>
  <c r="DY31" i="28"/>
  <c r="DZ31" i="28"/>
  <c r="EA31" i="28"/>
  <c r="EB31" i="28"/>
  <c r="EC31" i="28"/>
  <c r="ED31" i="28"/>
  <c r="EE31" i="28"/>
  <c r="EF31" i="28"/>
  <c r="EG31" i="28"/>
  <c r="EH31" i="28"/>
  <c r="EI31" i="28"/>
  <c r="EJ31" i="28"/>
  <c r="EK31" i="28"/>
  <c r="EL31" i="28"/>
  <c r="EM31" i="28"/>
  <c r="EN31" i="28"/>
  <c r="EO31" i="28"/>
  <c r="EP31" i="28"/>
  <c r="EQ31" i="28"/>
  <c r="ER31" i="28"/>
  <c r="ES31" i="28"/>
  <c r="ET31" i="28"/>
  <c r="EU31" i="28"/>
  <c r="EV31" i="28"/>
  <c r="EW31" i="28"/>
  <c r="EX31" i="28"/>
  <c r="EY31" i="28"/>
  <c r="EZ31" i="28"/>
  <c r="FA31" i="28"/>
  <c r="FB31" i="28"/>
  <c r="FC31" i="28"/>
  <c r="FD31" i="28"/>
  <c r="FE31" i="28"/>
  <c r="FF31" i="28"/>
  <c r="FG31" i="28"/>
  <c r="FH31" i="28"/>
  <c r="FI31" i="28"/>
  <c r="FJ31" i="28"/>
  <c r="FK31" i="28"/>
  <c r="FL31" i="28"/>
  <c r="FM31" i="28"/>
  <c r="FN31" i="28"/>
  <c r="FO31" i="28"/>
  <c r="FP31" i="28"/>
  <c r="FQ31" i="28"/>
  <c r="FR31" i="28"/>
  <c r="FS31" i="28"/>
  <c r="FT31" i="28"/>
  <c r="FU31" i="28"/>
  <c r="FV31" i="28"/>
  <c r="FW31" i="28"/>
  <c r="FX31" i="28"/>
  <c r="FY31" i="28"/>
  <c r="FZ31" i="28"/>
  <c r="GA31" i="28"/>
  <c r="GB31" i="28"/>
  <c r="GC31" i="28"/>
  <c r="GD31" i="28"/>
  <c r="GE31" i="28"/>
  <c r="GF31" i="28"/>
  <c r="GG31" i="28"/>
  <c r="GH31" i="28"/>
  <c r="GI31" i="28"/>
  <c r="GJ31" i="28"/>
  <c r="GK31" i="28"/>
  <c r="GL31" i="28"/>
  <c r="GM31" i="28"/>
  <c r="GN31" i="28"/>
  <c r="GO31" i="28"/>
  <c r="GP31" i="28"/>
  <c r="GQ31" i="28"/>
  <c r="GR31" i="28"/>
  <c r="GS31" i="28"/>
  <c r="GT31" i="28"/>
  <c r="GU31" i="28"/>
  <c r="GV31" i="28"/>
  <c r="GW31" i="28"/>
  <c r="GX31" i="28"/>
  <c r="GY31" i="28"/>
  <c r="GZ31" i="28"/>
  <c r="HA31" i="28"/>
  <c r="HB31" i="28"/>
  <c r="HC31" i="28"/>
  <c r="HD31" i="28"/>
  <c r="HE31" i="28"/>
  <c r="HF31" i="28"/>
  <c r="HG31" i="28"/>
  <c r="HH31" i="28"/>
  <c r="HI31" i="28"/>
  <c r="HJ31" i="28"/>
  <c r="HK31" i="28"/>
  <c r="HL31" i="28"/>
  <c r="HM31" i="28"/>
  <c r="HN31" i="28"/>
  <c r="HO31" i="28"/>
  <c r="HP31" i="28"/>
  <c r="HQ31" i="28"/>
  <c r="HR31" i="28"/>
  <c r="HS31" i="28"/>
  <c r="HT31" i="28"/>
  <c r="HU31" i="28"/>
  <c r="HV31" i="28"/>
  <c r="HW31" i="28"/>
  <c r="HX31" i="28"/>
  <c r="HY31" i="28"/>
  <c r="HZ31" i="28"/>
  <c r="IA31" i="28"/>
  <c r="IB31" i="28"/>
  <c r="IC31" i="28"/>
  <c r="ID31" i="28"/>
  <c r="IE31" i="28"/>
  <c r="IF31" i="28"/>
  <c r="IG31" i="28"/>
  <c r="IH31" i="28"/>
  <c r="II31" i="28"/>
  <c r="IJ31" i="28"/>
  <c r="IK31" i="28"/>
  <c r="IL31" i="28"/>
  <c r="IM31" i="28"/>
  <c r="IN31" i="28"/>
  <c r="IO31" i="28"/>
  <c r="IP31" i="28"/>
  <c r="IQ31" i="28"/>
  <c r="IR31" i="28"/>
  <c r="IS31" i="28"/>
  <c r="IT31" i="28"/>
  <c r="IU31" i="28"/>
  <c r="IV31" i="28"/>
  <c r="A30" i="28"/>
  <c r="B30" i="28"/>
  <c r="C30" i="28"/>
  <c r="D30" i="28"/>
  <c r="E30" i="28"/>
  <c r="F30" i="28"/>
  <c r="G30" i="28"/>
  <c r="H30" i="28"/>
  <c r="I30" i="28"/>
  <c r="J30" i="28"/>
  <c r="K30" i="28"/>
  <c r="L30" i="28"/>
  <c r="M30" i="28"/>
  <c r="N30" i="28"/>
  <c r="O30" i="28"/>
  <c r="P30" i="28"/>
  <c r="Q30" i="28"/>
  <c r="R30" i="28"/>
  <c r="S30" i="28"/>
  <c r="T30" i="28"/>
  <c r="U30" i="28"/>
  <c r="V30" i="28"/>
  <c r="W30" i="28"/>
  <c r="X30" i="28"/>
  <c r="Y30" i="28"/>
  <c r="Z30" i="28"/>
  <c r="AA30" i="28"/>
  <c r="AB30" i="28"/>
  <c r="AC30" i="28"/>
  <c r="AD30" i="28"/>
  <c r="AE30" i="28"/>
  <c r="AF30" i="28"/>
  <c r="AG30" i="28"/>
  <c r="AH30" i="28"/>
  <c r="AI30" i="28"/>
  <c r="AJ30" i="28"/>
  <c r="AK30" i="28"/>
  <c r="AL30" i="28"/>
  <c r="AM30" i="28"/>
  <c r="AN30" i="28"/>
  <c r="AO30" i="28"/>
  <c r="AP30" i="28"/>
  <c r="AQ30" i="28"/>
  <c r="AR30" i="28"/>
  <c r="AS30" i="28"/>
  <c r="AT30" i="28"/>
  <c r="AU30" i="28"/>
  <c r="AV30" i="28"/>
  <c r="AW30" i="28"/>
  <c r="AX30" i="28"/>
  <c r="AY30" i="28"/>
  <c r="AZ30" i="28"/>
  <c r="BA30" i="28"/>
  <c r="BB30" i="28"/>
  <c r="BC30" i="28"/>
  <c r="BD30" i="28"/>
  <c r="BE30" i="28"/>
  <c r="BF30" i="28"/>
  <c r="BG30" i="28"/>
  <c r="BH30" i="28"/>
  <c r="BI30" i="28"/>
  <c r="BJ30" i="28"/>
  <c r="BK30" i="28"/>
  <c r="BL30" i="28"/>
  <c r="BM30" i="28"/>
  <c r="BN30" i="28"/>
  <c r="BO30" i="28"/>
  <c r="BP30" i="28"/>
  <c r="BQ30" i="28"/>
  <c r="BR30" i="28"/>
  <c r="BS30" i="28"/>
  <c r="BT30" i="28"/>
  <c r="BU30" i="28"/>
  <c r="BV30" i="28"/>
  <c r="BW30" i="28"/>
  <c r="BX30" i="28"/>
  <c r="BY30" i="28"/>
  <c r="BZ30" i="28"/>
  <c r="CA30" i="28"/>
  <c r="CB30" i="28"/>
  <c r="CC30" i="28"/>
  <c r="CD30" i="28"/>
  <c r="CE30" i="28"/>
  <c r="CF30" i="28"/>
  <c r="CG30" i="28"/>
  <c r="CH30" i="28"/>
  <c r="CI30" i="28"/>
  <c r="CJ30" i="28"/>
  <c r="CK30" i="28"/>
  <c r="CL30" i="28"/>
  <c r="CM30" i="28"/>
  <c r="CN30" i="28"/>
  <c r="CO30" i="28"/>
  <c r="CP30" i="28"/>
  <c r="CQ30" i="28"/>
  <c r="CR30" i="28"/>
  <c r="CS30" i="28"/>
  <c r="CT30" i="28"/>
  <c r="CU30" i="28"/>
  <c r="CV30" i="28"/>
  <c r="CW30" i="28"/>
  <c r="CX30" i="28"/>
  <c r="CY30" i="28"/>
  <c r="CZ30" i="28"/>
  <c r="DA30" i="28"/>
  <c r="DB30" i="28"/>
  <c r="DC30" i="28"/>
  <c r="DD30" i="28"/>
  <c r="DE30" i="28"/>
  <c r="DF30" i="28"/>
  <c r="DG30" i="28"/>
  <c r="DH30" i="28"/>
  <c r="DI30" i="28"/>
  <c r="DJ30" i="28"/>
  <c r="DK30" i="28"/>
  <c r="DL30" i="28"/>
  <c r="DM30" i="28"/>
  <c r="DN30" i="28"/>
  <c r="DO30" i="28"/>
  <c r="DP30" i="28"/>
  <c r="DQ30" i="28"/>
  <c r="DR30" i="28"/>
  <c r="DS30" i="28"/>
  <c r="DT30" i="28"/>
  <c r="DU30" i="28"/>
  <c r="DV30" i="28"/>
  <c r="DW30" i="28"/>
  <c r="DX30" i="28"/>
  <c r="DY30" i="28"/>
  <c r="DZ30" i="28"/>
  <c r="EA30" i="28"/>
  <c r="EB30" i="28"/>
  <c r="EC30" i="28"/>
  <c r="ED30" i="28"/>
  <c r="EE30" i="28"/>
  <c r="EF30" i="28"/>
  <c r="EG30" i="28"/>
  <c r="EH30" i="28"/>
  <c r="EI30" i="28"/>
  <c r="EJ30" i="28"/>
  <c r="EK30" i="28"/>
  <c r="EL30" i="28"/>
  <c r="EM30" i="28"/>
  <c r="EN30" i="28"/>
  <c r="EO30" i="28"/>
  <c r="EP30" i="28"/>
  <c r="EQ30" i="28"/>
  <c r="ER30" i="28"/>
  <c r="ES30" i="28"/>
  <c r="ET30" i="28"/>
  <c r="EU30" i="28"/>
  <c r="EV30" i="28"/>
  <c r="EW30" i="28"/>
  <c r="EX30" i="28"/>
  <c r="EY30" i="28"/>
  <c r="EZ30" i="28"/>
  <c r="FA30" i="28"/>
  <c r="FB30" i="28"/>
  <c r="FC30" i="28"/>
  <c r="FD30" i="28"/>
  <c r="FE30" i="28"/>
  <c r="FF30" i="28"/>
  <c r="FG30" i="28"/>
  <c r="FH30" i="28"/>
  <c r="FI30" i="28"/>
  <c r="FJ30" i="28"/>
  <c r="FK30" i="28"/>
  <c r="FL30" i="28"/>
  <c r="FM30" i="28"/>
  <c r="FN30" i="28"/>
  <c r="FO30" i="28"/>
  <c r="FP30" i="28"/>
  <c r="FQ30" i="28"/>
  <c r="FR30" i="28"/>
  <c r="FS30" i="28"/>
  <c r="FT30" i="28"/>
  <c r="FU30" i="28"/>
  <c r="FV30" i="28"/>
  <c r="FW30" i="28"/>
  <c r="FX30" i="28"/>
  <c r="FY30" i="28"/>
  <c r="FZ30" i="28"/>
  <c r="GA30" i="28"/>
  <c r="GB30" i="28"/>
  <c r="GC30" i="28"/>
  <c r="GD30" i="28"/>
  <c r="GE30" i="28"/>
  <c r="GF30" i="28"/>
  <c r="GG30" i="28"/>
  <c r="GH30" i="28"/>
  <c r="GI30" i="28"/>
  <c r="GJ30" i="28"/>
  <c r="GK30" i="28"/>
  <c r="GL30" i="28"/>
  <c r="GM30" i="28"/>
  <c r="GN30" i="28"/>
  <c r="GO30" i="28"/>
  <c r="GP30" i="28"/>
  <c r="GQ30" i="28"/>
  <c r="GR30" i="28"/>
  <c r="GS30" i="28"/>
  <c r="GT30" i="28"/>
  <c r="GU30" i="28"/>
  <c r="GV30" i="28"/>
  <c r="GW30" i="28"/>
  <c r="GX30" i="28"/>
  <c r="GY30" i="28"/>
  <c r="GZ30" i="28"/>
  <c r="HA30" i="28"/>
  <c r="HB30" i="28"/>
  <c r="HC30" i="28"/>
  <c r="HD30" i="28"/>
  <c r="HE30" i="28"/>
  <c r="HF30" i="28"/>
  <c r="HG30" i="28"/>
  <c r="HH30" i="28"/>
  <c r="HI30" i="28"/>
  <c r="HJ30" i="28"/>
  <c r="HK30" i="28"/>
  <c r="HL30" i="28"/>
  <c r="HM30" i="28"/>
  <c r="HN30" i="28"/>
  <c r="HO30" i="28"/>
  <c r="HP30" i="28"/>
  <c r="HQ30" i="28"/>
  <c r="HR30" i="28"/>
  <c r="HS30" i="28"/>
  <c r="HT30" i="28"/>
  <c r="HU30" i="28"/>
  <c r="HV30" i="28"/>
  <c r="HW30" i="28"/>
  <c r="HX30" i="28"/>
  <c r="HY30" i="28"/>
  <c r="HZ30" i="28"/>
  <c r="IA30" i="28"/>
  <c r="IB30" i="28"/>
  <c r="IC30" i="28"/>
  <c r="ID30" i="28"/>
  <c r="IE30" i="28"/>
  <c r="IF30" i="28"/>
  <c r="IG30" i="28"/>
  <c r="IH30" i="28"/>
  <c r="II30" i="28"/>
  <c r="IJ30" i="28"/>
  <c r="IK30" i="28"/>
  <c r="IL30" i="28"/>
  <c r="IM30" i="28"/>
  <c r="IN30" i="28"/>
  <c r="IO30" i="28"/>
  <c r="IP30" i="28"/>
  <c r="IQ30" i="28"/>
  <c r="IR30" i="28"/>
  <c r="IS30" i="28"/>
  <c r="IT30" i="28"/>
  <c r="IU30" i="28"/>
  <c r="IV30" i="28"/>
  <c r="A29" i="28"/>
  <c r="B29" i="28"/>
  <c r="C29" i="28"/>
  <c r="D29" i="28"/>
  <c r="E29" i="28"/>
  <c r="F29" i="28"/>
  <c r="G29" i="28"/>
  <c r="H29" i="28"/>
  <c r="I29" i="28"/>
  <c r="J29" i="28"/>
  <c r="K29" i="28"/>
  <c r="L29" i="28"/>
  <c r="M29" i="28"/>
  <c r="N29" i="28"/>
  <c r="O29" i="28"/>
  <c r="P29" i="28"/>
  <c r="Q29" i="28"/>
  <c r="R29" i="28"/>
  <c r="S29" i="28"/>
  <c r="T29" i="28"/>
  <c r="U29" i="28"/>
  <c r="V29" i="28"/>
  <c r="W29" i="28"/>
  <c r="X29" i="28"/>
  <c r="Y29" i="28"/>
  <c r="Z29" i="28"/>
  <c r="AA29" i="28"/>
  <c r="AB29" i="28"/>
  <c r="AC29" i="28"/>
  <c r="AD29" i="28"/>
  <c r="AE29" i="28"/>
  <c r="AF29" i="28"/>
  <c r="AG29" i="28"/>
  <c r="AH29" i="28"/>
  <c r="AI29" i="28"/>
  <c r="AJ29" i="28"/>
  <c r="AK29" i="28"/>
  <c r="AL29" i="28"/>
  <c r="AM29" i="28"/>
  <c r="AN29" i="28"/>
  <c r="AO29" i="28"/>
  <c r="AP29" i="28"/>
  <c r="AQ29" i="28"/>
  <c r="AR29" i="28"/>
  <c r="AS29" i="28"/>
  <c r="AT29" i="28"/>
  <c r="AU29" i="28"/>
  <c r="AV29" i="28"/>
  <c r="AW29" i="28"/>
  <c r="AX29" i="28"/>
  <c r="AY29" i="28"/>
  <c r="AZ29" i="28"/>
  <c r="BA29" i="28"/>
  <c r="BB29" i="28"/>
  <c r="BC29" i="28"/>
  <c r="BD29" i="28"/>
  <c r="BE29" i="28"/>
  <c r="BF29" i="28"/>
  <c r="BG29" i="28"/>
  <c r="BH29" i="28"/>
  <c r="BI29" i="28"/>
  <c r="BJ29" i="28"/>
  <c r="BK29" i="28"/>
  <c r="BL29" i="28"/>
  <c r="BM29" i="28"/>
  <c r="BN29" i="28"/>
  <c r="BO29" i="28"/>
  <c r="BP29" i="28"/>
  <c r="BQ29" i="28"/>
  <c r="BR29" i="28"/>
  <c r="BS29" i="28"/>
  <c r="BT29" i="28"/>
  <c r="BU29" i="28"/>
  <c r="BV29" i="28"/>
  <c r="BW29" i="28"/>
  <c r="BX29" i="28"/>
  <c r="BY29" i="28"/>
  <c r="BZ29" i="28"/>
  <c r="CA29" i="28"/>
  <c r="CB29" i="28"/>
  <c r="CC29" i="28"/>
  <c r="CD29" i="28"/>
  <c r="CE29" i="28"/>
  <c r="CF29" i="28"/>
  <c r="CG29" i="28"/>
  <c r="CH29" i="28"/>
  <c r="CI29" i="28"/>
  <c r="CJ29" i="28"/>
  <c r="CK29" i="28"/>
  <c r="CL29" i="28"/>
  <c r="CM29" i="28"/>
  <c r="CN29" i="28"/>
  <c r="CO29" i="28"/>
  <c r="CP29" i="28"/>
  <c r="CQ29" i="28"/>
  <c r="CR29" i="28"/>
  <c r="CS29" i="28"/>
  <c r="CT29" i="28"/>
  <c r="CU29" i="28"/>
  <c r="CV29" i="28"/>
  <c r="CW29" i="28"/>
  <c r="CX29" i="28"/>
  <c r="CY29" i="28"/>
  <c r="CZ29" i="28"/>
  <c r="DA29" i="28"/>
  <c r="DB29" i="28"/>
  <c r="DC29" i="28"/>
  <c r="DD29" i="28"/>
  <c r="DE29" i="28"/>
  <c r="DF29" i="28"/>
  <c r="DG29" i="28"/>
  <c r="DH29" i="28"/>
  <c r="DI29" i="28"/>
  <c r="DJ29" i="28"/>
  <c r="DK29" i="28"/>
  <c r="DL29" i="28"/>
  <c r="DM29" i="28"/>
  <c r="DN29" i="28"/>
  <c r="DO29" i="28"/>
  <c r="DP29" i="28"/>
  <c r="DQ29" i="28"/>
  <c r="DR29" i="28"/>
  <c r="DS29" i="28"/>
  <c r="DT29" i="28"/>
  <c r="DU29" i="28"/>
  <c r="DV29" i="28"/>
  <c r="DW29" i="28"/>
  <c r="DX29" i="28"/>
  <c r="DY29" i="28"/>
  <c r="DZ29" i="28"/>
  <c r="EA29" i="28"/>
  <c r="EB29" i="28"/>
  <c r="EC29" i="28"/>
  <c r="ED29" i="28"/>
  <c r="EE29" i="28"/>
  <c r="EF29" i="28"/>
  <c r="EG29" i="28"/>
  <c r="EH29" i="28"/>
  <c r="EI29" i="28"/>
  <c r="EJ29" i="28"/>
  <c r="EK29" i="28"/>
  <c r="EL29" i="28"/>
  <c r="EM29" i="28"/>
  <c r="EN29" i="28"/>
  <c r="EO29" i="28"/>
  <c r="EP29" i="28"/>
  <c r="EQ29" i="28"/>
  <c r="ER29" i="28"/>
  <c r="ES29" i="28"/>
  <c r="ET29" i="28"/>
  <c r="EU29" i="28"/>
  <c r="EV29" i="28"/>
  <c r="EW29" i="28"/>
  <c r="EX29" i="28"/>
  <c r="EY29" i="28"/>
  <c r="EZ29" i="28"/>
  <c r="FA29" i="28"/>
  <c r="FB29" i="28"/>
  <c r="FC29" i="28"/>
  <c r="FD29" i="28"/>
  <c r="FE29" i="28"/>
  <c r="FF29" i="28"/>
  <c r="FG29" i="28"/>
  <c r="FH29" i="28"/>
  <c r="FI29" i="28"/>
  <c r="FJ29" i="28"/>
  <c r="FK29" i="28"/>
  <c r="FL29" i="28"/>
  <c r="FM29" i="28"/>
  <c r="FN29" i="28"/>
  <c r="FO29" i="28"/>
  <c r="FP29" i="28"/>
  <c r="FQ29" i="28"/>
  <c r="FR29" i="28"/>
  <c r="FS29" i="28"/>
  <c r="FT29" i="28"/>
  <c r="FU29" i="28"/>
  <c r="FV29" i="28"/>
  <c r="FW29" i="28"/>
  <c r="FX29" i="28"/>
  <c r="FY29" i="28"/>
  <c r="FZ29" i="28"/>
  <c r="GA29" i="28"/>
  <c r="GB29" i="28"/>
  <c r="GC29" i="28"/>
  <c r="GD29" i="28"/>
  <c r="GE29" i="28"/>
  <c r="GF29" i="28"/>
  <c r="GG29" i="28"/>
  <c r="GH29" i="28"/>
  <c r="GI29" i="28"/>
  <c r="GJ29" i="28"/>
  <c r="GK29" i="28"/>
  <c r="GL29" i="28"/>
  <c r="GM29" i="28"/>
  <c r="GN29" i="28"/>
  <c r="GO29" i="28"/>
  <c r="GP29" i="28"/>
  <c r="GQ29" i="28"/>
  <c r="GR29" i="28"/>
  <c r="GS29" i="28"/>
  <c r="GT29" i="28"/>
  <c r="GU29" i="28"/>
  <c r="GV29" i="28"/>
  <c r="GW29" i="28"/>
  <c r="GX29" i="28"/>
  <c r="GY29" i="28"/>
  <c r="GZ29" i="28"/>
  <c r="HA29" i="28"/>
  <c r="HB29" i="28"/>
  <c r="HC29" i="28"/>
  <c r="HD29" i="28"/>
  <c r="HE29" i="28"/>
  <c r="HF29" i="28"/>
  <c r="HG29" i="28"/>
  <c r="HH29" i="28"/>
  <c r="HI29" i="28"/>
  <c r="HJ29" i="28"/>
  <c r="HK29" i="28"/>
  <c r="HL29" i="28"/>
  <c r="HM29" i="28"/>
  <c r="HN29" i="28"/>
  <c r="HO29" i="28"/>
  <c r="HP29" i="28"/>
  <c r="HQ29" i="28"/>
  <c r="HR29" i="28"/>
  <c r="HS29" i="28"/>
  <c r="HT29" i="28"/>
  <c r="HU29" i="28"/>
  <c r="HV29" i="28"/>
  <c r="HW29" i="28"/>
  <c r="HX29" i="28"/>
  <c r="HY29" i="28"/>
  <c r="HZ29" i="28"/>
  <c r="IA29" i="28"/>
  <c r="IB29" i="28"/>
  <c r="IC29" i="28"/>
  <c r="ID29" i="28"/>
  <c r="IE29" i="28"/>
  <c r="IF29" i="28"/>
  <c r="IG29" i="28"/>
  <c r="IH29" i="28"/>
  <c r="II29" i="28"/>
  <c r="IJ29" i="28"/>
  <c r="IK29" i="28"/>
  <c r="IL29" i="28"/>
  <c r="IM29" i="28"/>
  <c r="IN29" i="28"/>
  <c r="IO29" i="28"/>
  <c r="IP29" i="28"/>
  <c r="IQ29" i="28"/>
  <c r="IR29" i="28"/>
  <c r="IS29" i="28"/>
  <c r="IT29" i="28"/>
  <c r="IU29" i="28"/>
  <c r="IV29" i="28"/>
  <c r="A28" i="28"/>
  <c r="B28" i="28"/>
  <c r="C28" i="28"/>
  <c r="D28" i="28"/>
  <c r="E28" i="28"/>
  <c r="F28" i="28"/>
  <c r="G28" i="28"/>
  <c r="H28" i="28"/>
  <c r="I28" i="28"/>
  <c r="J28" i="28"/>
  <c r="K28" i="28"/>
  <c r="L28" i="28"/>
  <c r="M28" i="28"/>
  <c r="N28" i="28"/>
  <c r="O28" i="28"/>
  <c r="P28" i="28"/>
  <c r="Q28" i="28"/>
  <c r="R28" i="28"/>
  <c r="S28" i="28"/>
  <c r="T28" i="28"/>
  <c r="U28" i="28"/>
  <c r="V28" i="28"/>
  <c r="W28" i="28"/>
  <c r="X28" i="28"/>
  <c r="Y28" i="28"/>
  <c r="Z28" i="28"/>
  <c r="AA28" i="28"/>
  <c r="AB28" i="28"/>
  <c r="AC28" i="28"/>
  <c r="AD28" i="28"/>
  <c r="AE28" i="28"/>
  <c r="AF28" i="28"/>
  <c r="AG28" i="28"/>
  <c r="AH28" i="28"/>
  <c r="AI28" i="28"/>
  <c r="AJ28" i="28"/>
  <c r="AK28" i="28"/>
  <c r="AL28" i="28"/>
  <c r="AM28" i="28"/>
  <c r="AN28" i="28"/>
  <c r="AO28" i="28"/>
  <c r="AP28" i="28"/>
  <c r="AQ28" i="28"/>
  <c r="AR28" i="28"/>
  <c r="AS28" i="28"/>
  <c r="AT28" i="28"/>
  <c r="AU28" i="28"/>
  <c r="AV28" i="28"/>
  <c r="AW28" i="28"/>
  <c r="AX28" i="28"/>
  <c r="AY28" i="28"/>
  <c r="AZ28" i="28"/>
  <c r="BA28" i="28"/>
  <c r="BB28" i="28"/>
  <c r="BC28" i="28"/>
  <c r="BD28" i="28"/>
  <c r="BE28" i="28"/>
  <c r="BF28" i="28"/>
  <c r="BG28" i="28"/>
  <c r="BH28" i="28"/>
  <c r="BI28" i="28"/>
  <c r="BJ28" i="28"/>
  <c r="BK28" i="28"/>
  <c r="BL28" i="28"/>
  <c r="BM28" i="28"/>
  <c r="BN28" i="28"/>
  <c r="BO28" i="28"/>
  <c r="BP28" i="28"/>
  <c r="BQ28" i="28"/>
  <c r="BR28" i="28"/>
  <c r="BS28" i="28"/>
  <c r="BT28" i="28"/>
  <c r="BU28" i="28"/>
  <c r="BV28" i="28"/>
  <c r="BW28" i="28"/>
  <c r="BX28" i="28"/>
  <c r="BY28" i="28"/>
  <c r="BZ28" i="28"/>
  <c r="CA28" i="28"/>
  <c r="CB28" i="28"/>
  <c r="CC28" i="28"/>
  <c r="CD28" i="28"/>
  <c r="CE28" i="28"/>
  <c r="CF28" i="28"/>
  <c r="CG28" i="28"/>
  <c r="CH28" i="28"/>
  <c r="CI28" i="28"/>
  <c r="CJ28" i="28"/>
  <c r="CK28" i="28"/>
  <c r="CL28" i="28"/>
  <c r="CM28" i="28"/>
  <c r="CN28" i="28"/>
  <c r="CO28" i="28"/>
  <c r="CP28" i="28"/>
  <c r="CQ28" i="28"/>
  <c r="CR28" i="28"/>
  <c r="CS28" i="28"/>
  <c r="CT28" i="28"/>
  <c r="CU28" i="28"/>
  <c r="CV28" i="28"/>
  <c r="CW28" i="28"/>
  <c r="CX28" i="28"/>
  <c r="CY28" i="28"/>
  <c r="CZ28" i="28"/>
  <c r="DA28" i="28"/>
  <c r="DB28" i="28"/>
  <c r="DC28" i="28"/>
  <c r="DD28" i="28"/>
  <c r="DE28" i="28"/>
  <c r="DF28" i="28"/>
  <c r="DG28" i="28"/>
  <c r="DH28" i="28"/>
  <c r="DI28" i="28"/>
  <c r="DJ28" i="28"/>
  <c r="DK28" i="28"/>
  <c r="DL28" i="28"/>
  <c r="DM28" i="28"/>
  <c r="DN28" i="28"/>
  <c r="DO28" i="28"/>
  <c r="DP28" i="28"/>
  <c r="DQ28" i="28"/>
  <c r="DR28" i="28"/>
  <c r="DS28" i="28"/>
  <c r="DT28" i="28"/>
  <c r="DU28" i="28"/>
  <c r="DV28" i="28"/>
  <c r="DW28" i="28"/>
  <c r="DX28" i="28"/>
  <c r="DY28" i="28"/>
  <c r="DZ28" i="28"/>
  <c r="EA28" i="28"/>
  <c r="EB28" i="28"/>
  <c r="EC28" i="28"/>
  <c r="ED28" i="28"/>
  <c r="EE28" i="28"/>
  <c r="EF28" i="28"/>
  <c r="EG28" i="28"/>
  <c r="EH28" i="28"/>
  <c r="EI28" i="28"/>
  <c r="EJ28" i="28"/>
  <c r="EK28" i="28"/>
  <c r="EL28" i="28"/>
  <c r="EM28" i="28"/>
  <c r="EN28" i="28"/>
  <c r="EO28" i="28"/>
  <c r="EP28" i="28"/>
  <c r="EQ28" i="28"/>
  <c r="ER28" i="28"/>
  <c r="ES28" i="28"/>
  <c r="ET28" i="28"/>
  <c r="EU28" i="28"/>
  <c r="EV28" i="28"/>
  <c r="EW28" i="28"/>
  <c r="EX28" i="28"/>
  <c r="EY28" i="28"/>
  <c r="EZ28" i="28"/>
  <c r="FA28" i="28"/>
  <c r="FB28" i="28"/>
  <c r="FC28" i="28"/>
  <c r="FD28" i="28"/>
  <c r="FE28" i="28"/>
  <c r="FF28" i="28"/>
  <c r="FG28" i="28"/>
  <c r="FH28" i="28"/>
  <c r="FI28" i="28"/>
  <c r="FJ28" i="28"/>
  <c r="FK28" i="28"/>
  <c r="FL28" i="28"/>
  <c r="FM28" i="28"/>
  <c r="FN28" i="28"/>
  <c r="FO28" i="28"/>
  <c r="FP28" i="28"/>
  <c r="FQ28" i="28"/>
  <c r="FR28" i="28"/>
  <c r="FS28" i="28"/>
  <c r="FT28" i="28"/>
  <c r="FU28" i="28"/>
  <c r="FV28" i="28"/>
  <c r="FW28" i="28"/>
  <c r="FX28" i="28"/>
  <c r="FY28" i="28"/>
  <c r="FZ28" i="28"/>
  <c r="GA28" i="28"/>
  <c r="GB28" i="28"/>
  <c r="GC28" i="28"/>
  <c r="GD28" i="28"/>
  <c r="GE28" i="28"/>
  <c r="GF28" i="28"/>
  <c r="GG28" i="28"/>
  <c r="GH28" i="28"/>
  <c r="GI28" i="28"/>
  <c r="GJ28" i="28"/>
  <c r="GK28" i="28"/>
  <c r="GL28" i="28"/>
  <c r="GM28" i="28"/>
  <c r="GN28" i="28"/>
  <c r="GO28" i="28"/>
  <c r="GP28" i="28"/>
  <c r="GQ28" i="28"/>
  <c r="GR28" i="28"/>
  <c r="GS28" i="28"/>
  <c r="GT28" i="28"/>
  <c r="GU28" i="28"/>
  <c r="GV28" i="28"/>
  <c r="GW28" i="28"/>
  <c r="GX28" i="28"/>
  <c r="GY28" i="28"/>
  <c r="GZ28" i="28"/>
  <c r="HA28" i="28"/>
  <c r="HB28" i="28"/>
  <c r="HC28" i="28"/>
  <c r="HD28" i="28"/>
  <c r="HE28" i="28"/>
  <c r="HF28" i="28"/>
  <c r="HG28" i="28"/>
  <c r="HH28" i="28"/>
  <c r="HI28" i="28"/>
  <c r="HJ28" i="28"/>
  <c r="HK28" i="28"/>
  <c r="HL28" i="28"/>
  <c r="HM28" i="28"/>
  <c r="HN28" i="28"/>
  <c r="HO28" i="28"/>
  <c r="HP28" i="28"/>
  <c r="HQ28" i="28"/>
  <c r="HR28" i="28"/>
  <c r="HS28" i="28"/>
  <c r="HT28" i="28"/>
  <c r="HU28" i="28"/>
  <c r="HV28" i="28"/>
  <c r="HW28" i="28"/>
  <c r="HX28" i="28"/>
  <c r="HY28" i="28"/>
  <c r="HZ28" i="28"/>
  <c r="IA28" i="28"/>
  <c r="IB28" i="28"/>
  <c r="IC28" i="28"/>
  <c r="ID28" i="28"/>
  <c r="IE28" i="28"/>
  <c r="IF28" i="28"/>
  <c r="IG28" i="28"/>
  <c r="IH28" i="28"/>
  <c r="II28" i="28"/>
  <c r="IJ28" i="28"/>
  <c r="IK28" i="28"/>
  <c r="IL28" i="28"/>
  <c r="IM28" i="28"/>
  <c r="IN28" i="28"/>
  <c r="IO28" i="28"/>
  <c r="IP28" i="28"/>
  <c r="IQ28" i="28"/>
  <c r="IR28" i="28"/>
  <c r="IS28" i="28"/>
  <c r="IT28" i="28"/>
  <c r="IU28" i="28"/>
  <c r="IV28" i="28"/>
  <c r="A27" i="28"/>
  <c r="B27" i="28"/>
  <c r="C27" i="28"/>
  <c r="D27" i="28"/>
  <c r="E27" i="28"/>
  <c r="F27" i="28"/>
  <c r="G27" i="28"/>
  <c r="H27" i="28"/>
  <c r="I27" i="28"/>
  <c r="J27" i="28"/>
  <c r="K27" i="28"/>
  <c r="L27" i="28"/>
  <c r="M27" i="28"/>
  <c r="N27" i="28"/>
  <c r="O27" i="28"/>
  <c r="P27" i="28"/>
  <c r="Q27" i="28"/>
  <c r="R27" i="28"/>
  <c r="S27" i="28"/>
  <c r="T27" i="28"/>
  <c r="U27" i="28"/>
  <c r="V27" i="28"/>
  <c r="W27" i="28"/>
  <c r="X27" i="28"/>
  <c r="Y27" i="28"/>
  <c r="Z27" i="28"/>
  <c r="AA27" i="28"/>
  <c r="AB27" i="28"/>
  <c r="AC27" i="28"/>
  <c r="AD27" i="28"/>
  <c r="AE27" i="28"/>
  <c r="AF27" i="28"/>
  <c r="AG27" i="28"/>
  <c r="AH27" i="28"/>
  <c r="AI27" i="28"/>
  <c r="AJ27" i="28"/>
  <c r="AK27" i="28"/>
  <c r="AL27" i="28"/>
  <c r="AM27" i="28"/>
  <c r="AN27" i="28"/>
  <c r="AO27" i="28"/>
  <c r="AP27" i="28"/>
  <c r="AQ27" i="28"/>
  <c r="AR27" i="28"/>
  <c r="AS27" i="28"/>
  <c r="AT27" i="28"/>
  <c r="AU27" i="28"/>
  <c r="AV27" i="28"/>
  <c r="AW27" i="28"/>
  <c r="AX27" i="28"/>
  <c r="AY27" i="28"/>
  <c r="AZ27" i="28"/>
  <c r="BA27" i="28"/>
  <c r="BB27" i="28"/>
  <c r="BC27" i="28"/>
  <c r="BD27" i="28"/>
  <c r="BE27" i="28"/>
  <c r="BF27" i="28"/>
  <c r="BG27" i="28"/>
  <c r="BH27" i="28"/>
  <c r="BI27" i="28"/>
  <c r="BJ27" i="28"/>
  <c r="BK27" i="28"/>
  <c r="BL27" i="28"/>
  <c r="BM27" i="28"/>
  <c r="BN27" i="28"/>
  <c r="BO27" i="28"/>
  <c r="BP27" i="28"/>
  <c r="BQ27" i="28"/>
  <c r="BR27" i="28"/>
  <c r="BS27" i="28"/>
  <c r="BT27" i="28"/>
  <c r="BU27" i="28"/>
  <c r="BV27" i="28"/>
  <c r="BW27" i="28"/>
  <c r="BX27" i="28"/>
  <c r="BY27" i="28"/>
  <c r="BZ27" i="28"/>
  <c r="CA27" i="28"/>
  <c r="CB27" i="28"/>
  <c r="CC27" i="28"/>
  <c r="CD27" i="28"/>
  <c r="CE27" i="28"/>
  <c r="CF27" i="28"/>
  <c r="CG27" i="28"/>
  <c r="CH27" i="28"/>
  <c r="CI27" i="28"/>
  <c r="CJ27" i="28"/>
  <c r="CK27" i="28"/>
  <c r="CL27" i="28"/>
  <c r="CM27" i="28"/>
  <c r="CN27" i="28"/>
  <c r="CO27" i="28"/>
  <c r="CP27" i="28"/>
  <c r="CQ27" i="28"/>
  <c r="CR27" i="28"/>
  <c r="CS27" i="28"/>
  <c r="CT27" i="28"/>
  <c r="CU27" i="28"/>
  <c r="CV27" i="28"/>
  <c r="CW27" i="28"/>
  <c r="CX27" i="28"/>
  <c r="CY27" i="28"/>
  <c r="CZ27" i="28"/>
  <c r="DA27" i="28"/>
  <c r="DB27" i="28"/>
  <c r="DC27" i="28"/>
  <c r="DD27" i="28"/>
  <c r="DE27" i="28"/>
  <c r="DF27" i="28"/>
  <c r="DG27" i="28"/>
  <c r="DH27" i="28"/>
  <c r="DI27" i="28"/>
  <c r="DJ27" i="28"/>
  <c r="DK27" i="28"/>
  <c r="DL27" i="28"/>
  <c r="DM27" i="28"/>
  <c r="DN27" i="28"/>
  <c r="DO27" i="28"/>
  <c r="DP27" i="28"/>
  <c r="DQ27" i="28"/>
  <c r="DR27" i="28"/>
  <c r="DS27" i="28"/>
  <c r="DT27" i="28"/>
  <c r="DU27" i="28"/>
  <c r="DV27" i="28"/>
  <c r="DW27" i="28"/>
  <c r="DX27" i="28"/>
  <c r="DY27" i="28"/>
  <c r="DZ27" i="28"/>
  <c r="EA27" i="28"/>
  <c r="EB27" i="28"/>
  <c r="EC27" i="28"/>
  <c r="ED27" i="28"/>
  <c r="EE27" i="28"/>
  <c r="EF27" i="28"/>
  <c r="EG27" i="28"/>
  <c r="EH27" i="28"/>
  <c r="EI27" i="28"/>
  <c r="EJ27" i="28"/>
  <c r="EK27" i="28"/>
  <c r="EL27" i="28"/>
  <c r="EM27" i="28"/>
  <c r="EN27" i="28"/>
  <c r="EO27" i="28"/>
  <c r="EP27" i="28"/>
  <c r="EQ27" i="28"/>
  <c r="ER27" i="28"/>
  <c r="ES27" i="28"/>
  <c r="ET27" i="28"/>
  <c r="EU27" i="28"/>
  <c r="EV27" i="28"/>
  <c r="EW27" i="28"/>
  <c r="EX27" i="28"/>
  <c r="EY27" i="28"/>
  <c r="EZ27" i="28"/>
  <c r="FA27" i="28"/>
  <c r="FB27" i="28"/>
  <c r="FC27" i="28"/>
  <c r="FD27" i="28"/>
  <c r="FE27" i="28"/>
  <c r="FF27" i="28"/>
  <c r="FG27" i="28"/>
  <c r="FH27" i="28"/>
  <c r="FI27" i="28"/>
  <c r="FJ27" i="28"/>
  <c r="FK27" i="28"/>
  <c r="FL27" i="28"/>
  <c r="FM27" i="28"/>
  <c r="FN27" i="28"/>
  <c r="FO27" i="28"/>
  <c r="FP27" i="28"/>
  <c r="FQ27" i="28"/>
  <c r="FR27" i="28"/>
  <c r="FS27" i="28"/>
  <c r="FT27" i="28"/>
  <c r="FU27" i="28"/>
  <c r="FV27" i="28"/>
  <c r="FW27" i="28"/>
  <c r="FX27" i="28"/>
  <c r="FY27" i="28"/>
  <c r="FZ27" i="28"/>
  <c r="GA27" i="28"/>
  <c r="GB27" i="28"/>
  <c r="GC27" i="28"/>
  <c r="GD27" i="28"/>
  <c r="GE27" i="28"/>
  <c r="GF27" i="28"/>
  <c r="GG27" i="28"/>
  <c r="GH27" i="28"/>
  <c r="GI27" i="28"/>
  <c r="GJ27" i="28"/>
  <c r="GK27" i="28"/>
  <c r="GL27" i="28"/>
  <c r="GM27" i="28"/>
  <c r="GN27" i="28"/>
  <c r="GO27" i="28"/>
  <c r="GP27" i="28"/>
  <c r="GQ27" i="28"/>
  <c r="GR27" i="28"/>
  <c r="GS27" i="28"/>
  <c r="GT27" i="28"/>
  <c r="GU27" i="28"/>
  <c r="GV27" i="28"/>
  <c r="GW27" i="28"/>
  <c r="GX27" i="28"/>
  <c r="GY27" i="28"/>
  <c r="GZ27" i="28"/>
  <c r="HA27" i="28"/>
  <c r="HB27" i="28"/>
  <c r="HC27" i="28"/>
  <c r="HD27" i="28"/>
  <c r="HE27" i="28"/>
  <c r="HF27" i="28"/>
  <c r="HG27" i="28"/>
  <c r="HH27" i="28"/>
  <c r="HI27" i="28"/>
  <c r="HJ27" i="28"/>
  <c r="HK27" i="28"/>
  <c r="HL27" i="28"/>
  <c r="HM27" i="28"/>
  <c r="HN27" i="28"/>
  <c r="HO27" i="28"/>
  <c r="HP27" i="28"/>
  <c r="HQ27" i="28"/>
  <c r="HR27" i="28"/>
  <c r="HS27" i="28"/>
  <c r="HT27" i="28"/>
  <c r="HU27" i="28"/>
  <c r="HV27" i="28"/>
  <c r="HW27" i="28"/>
  <c r="HX27" i="28"/>
  <c r="HY27" i="28"/>
  <c r="HZ27" i="28"/>
  <c r="IA27" i="28"/>
  <c r="IB27" i="28"/>
  <c r="IC27" i="28"/>
  <c r="ID27" i="28"/>
  <c r="IE27" i="28"/>
  <c r="IF27" i="28"/>
  <c r="IG27" i="28"/>
  <c r="IH27" i="28"/>
  <c r="II27" i="28"/>
  <c r="IJ27" i="28"/>
  <c r="IK27" i="28"/>
  <c r="IL27" i="28"/>
  <c r="IM27" i="28"/>
  <c r="IN27" i="28"/>
  <c r="IO27" i="28"/>
  <c r="IP27" i="28"/>
  <c r="IQ27" i="28"/>
  <c r="IR27" i="28"/>
  <c r="IS27" i="28"/>
  <c r="IT27" i="28"/>
  <c r="IU27" i="28"/>
  <c r="IV27" i="28"/>
  <c r="A26" i="28"/>
  <c r="B26" i="28"/>
  <c r="C26" i="28"/>
  <c r="D26" i="28"/>
  <c r="E26" i="28"/>
  <c r="F26" i="28"/>
  <c r="G26" i="28"/>
  <c r="H26" i="28"/>
  <c r="I26" i="28"/>
  <c r="J26" i="28"/>
  <c r="K26" i="28"/>
  <c r="L26" i="28"/>
  <c r="M26" i="28"/>
  <c r="N26" i="28"/>
  <c r="O26" i="28"/>
  <c r="P26" i="28"/>
  <c r="Q26" i="28"/>
  <c r="R26" i="28"/>
  <c r="S26" i="28"/>
  <c r="T26" i="28"/>
  <c r="U26" i="28"/>
  <c r="V26" i="28"/>
  <c r="W26" i="28"/>
  <c r="X26" i="28"/>
  <c r="Y26" i="28"/>
  <c r="Z26" i="28"/>
  <c r="AA26" i="28"/>
  <c r="AB26" i="28"/>
  <c r="AC26" i="28"/>
  <c r="AD26" i="28"/>
  <c r="AE26" i="28"/>
  <c r="AF26" i="28"/>
  <c r="AG26" i="28"/>
  <c r="AH26" i="28"/>
  <c r="AI26" i="28"/>
  <c r="AJ26" i="28"/>
  <c r="AK26" i="28"/>
  <c r="AL26" i="28"/>
  <c r="AM26" i="28"/>
  <c r="AN26" i="28"/>
  <c r="AO26" i="28"/>
  <c r="AP26" i="28"/>
  <c r="AQ26" i="28"/>
  <c r="AR26" i="28"/>
  <c r="AS26" i="28"/>
  <c r="AT26" i="28"/>
  <c r="AU26" i="28"/>
  <c r="AV26" i="28"/>
  <c r="AW26" i="28"/>
  <c r="AX26" i="28"/>
  <c r="AY26" i="28"/>
  <c r="AZ26" i="28"/>
  <c r="BA26" i="28"/>
  <c r="BB26" i="28"/>
  <c r="BC26" i="28"/>
  <c r="BD26" i="28"/>
  <c r="BE26" i="28"/>
  <c r="BF26" i="28"/>
  <c r="BG26" i="28"/>
  <c r="BH26" i="28"/>
  <c r="BI26" i="28"/>
  <c r="BJ26" i="28"/>
  <c r="BK26" i="28"/>
  <c r="BL26" i="28"/>
  <c r="BM26" i="28"/>
  <c r="BN26" i="28"/>
  <c r="BO26" i="28"/>
  <c r="BP26" i="28"/>
  <c r="BQ26" i="28"/>
  <c r="BR26" i="28"/>
  <c r="BS26" i="28"/>
  <c r="BT26" i="28"/>
  <c r="BU26" i="28"/>
  <c r="BV26" i="28"/>
  <c r="BW26" i="28"/>
  <c r="BX26" i="28"/>
  <c r="BY26" i="28"/>
  <c r="BZ26" i="28"/>
  <c r="CA26" i="28"/>
  <c r="CB26" i="28"/>
  <c r="CC26" i="28"/>
  <c r="CD26" i="28"/>
  <c r="CE26" i="28"/>
  <c r="CF26" i="28"/>
  <c r="CG26" i="28"/>
  <c r="CH26" i="28"/>
  <c r="CI26" i="28"/>
  <c r="CJ26" i="28"/>
  <c r="CK26" i="28"/>
  <c r="CL26" i="28"/>
  <c r="CM26" i="28"/>
  <c r="CN26" i="28"/>
  <c r="CO26" i="28"/>
  <c r="CP26" i="28"/>
  <c r="CQ26" i="28"/>
  <c r="CR26" i="28"/>
  <c r="CS26" i="28"/>
  <c r="CT26" i="28"/>
  <c r="CU26" i="28"/>
  <c r="CV26" i="28"/>
  <c r="CW26" i="28"/>
  <c r="CX26" i="28"/>
  <c r="CY26" i="28"/>
  <c r="CZ26" i="28"/>
  <c r="DA26" i="28"/>
  <c r="DB26" i="28"/>
  <c r="DC26" i="28"/>
  <c r="DD26" i="28"/>
  <c r="DE26" i="28"/>
  <c r="DF26" i="28"/>
  <c r="DG26" i="28"/>
  <c r="DH26" i="28"/>
  <c r="DI26" i="28"/>
  <c r="DJ26" i="28"/>
  <c r="DK26" i="28"/>
  <c r="DL26" i="28"/>
  <c r="DM26" i="28"/>
  <c r="DN26" i="28"/>
  <c r="DO26" i="28"/>
  <c r="DP26" i="28"/>
  <c r="DQ26" i="28"/>
  <c r="DR26" i="28"/>
  <c r="DS26" i="28"/>
  <c r="DT26" i="28"/>
  <c r="DU26" i="28"/>
  <c r="DV26" i="28"/>
  <c r="DW26" i="28"/>
  <c r="DX26" i="28"/>
  <c r="DY26" i="28"/>
  <c r="DZ26" i="28"/>
  <c r="EA26" i="28"/>
  <c r="EB26" i="28"/>
  <c r="EC26" i="28"/>
  <c r="ED26" i="28"/>
  <c r="EE26" i="28"/>
  <c r="EF26" i="28"/>
  <c r="EG26" i="28"/>
  <c r="EH26" i="28"/>
  <c r="EI26" i="28"/>
  <c r="EJ26" i="28"/>
  <c r="EK26" i="28"/>
  <c r="EL26" i="28"/>
  <c r="EM26" i="28"/>
  <c r="EN26" i="28"/>
  <c r="EO26" i="28"/>
  <c r="EP26" i="28"/>
  <c r="EQ26" i="28"/>
  <c r="ER26" i="28"/>
  <c r="ES26" i="28"/>
  <c r="ET26" i="28"/>
  <c r="EU26" i="28"/>
  <c r="EV26" i="28"/>
  <c r="EW26" i="28"/>
  <c r="EX26" i="28"/>
  <c r="EY26" i="28"/>
  <c r="EZ26" i="28"/>
  <c r="FA26" i="28"/>
  <c r="FB26" i="28"/>
  <c r="FC26" i="28"/>
  <c r="FD26" i="28"/>
  <c r="FE26" i="28"/>
  <c r="FF26" i="28"/>
  <c r="FG26" i="28"/>
  <c r="FH26" i="28"/>
  <c r="FI26" i="28"/>
  <c r="FJ26" i="28"/>
  <c r="FK26" i="28"/>
  <c r="FL26" i="28"/>
  <c r="FM26" i="28"/>
  <c r="FN26" i="28"/>
  <c r="FO26" i="28"/>
  <c r="FP26" i="28"/>
  <c r="FQ26" i="28"/>
  <c r="FR26" i="28"/>
  <c r="FS26" i="28"/>
  <c r="FT26" i="28"/>
  <c r="FU26" i="28"/>
  <c r="FV26" i="28"/>
  <c r="FW26" i="28"/>
  <c r="FX26" i="28"/>
  <c r="FY26" i="28"/>
  <c r="FZ26" i="28"/>
  <c r="GA26" i="28"/>
  <c r="GB26" i="28"/>
  <c r="GC26" i="28"/>
  <c r="GD26" i="28"/>
  <c r="GE26" i="28"/>
  <c r="GF26" i="28"/>
  <c r="GG26" i="28"/>
  <c r="GH26" i="28"/>
  <c r="GI26" i="28"/>
  <c r="GJ26" i="28"/>
  <c r="GK26" i="28"/>
  <c r="GL26" i="28"/>
  <c r="GM26" i="28"/>
  <c r="GN26" i="28"/>
  <c r="GO26" i="28"/>
  <c r="GP26" i="28"/>
  <c r="GQ26" i="28"/>
  <c r="GR26" i="28"/>
  <c r="GS26" i="28"/>
  <c r="GT26" i="28"/>
  <c r="GU26" i="28"/>
  <c r="GV26" i="28"/>
  <c r="GW26" i="28"/>
  <c r="GX26" i="28"/>
  <c r="GY26" i="28"/>
  <c r="GZ26" i="28"/>
  <c r="HA26" i="28"/>
  <c r="HB26" i="28"/>
  <c r="HC26" i="28"/>
  <c r="HD26" i="28"/>
  <c r="HE26" i="28"/>
  <c r="HF26" i="28"/>
  <c r="HG26" i="28"/>
  <c r="HH26" i="28"/>
  <c r="HI26" i="28"/>
  <c r="HJ26" i="28"/>
  <c r="HK26" i="28"/>
  <c r="HL26" i="28"/>
  <c r="HM26" i="28"/>
  <c r="HN26" i="28"/>
  <c r="HO26" i="28"/>
  <c r="HP26" i="28"/>
  <c r="HQ26" i="28"/>
  <c r="HR26" i="28"/>
  <c r="HS26" i="28"/>
  <c r="HT26" i="28"/>
  <c r="HU26" i="28"/>
  <c r="HV26" i="28"/>
  <c r="HW26" i="28"/>
  <c r="HX26" i="28"/>
  <c r="HY26" i="28"/>
  <c r="HZ26" i="28"/>
  <c r="IA26" i="28"/>
  <c r="IB26" i="28"/>
  <c r="IC26" i="28"/>
  <c r="ID26" i="28"/>
  <c r="IE26" i="28"/>
  <c r="IF26" i="28"/>
  <c r="IG26" i="28"/>
  <c r="IH26" i="28"/>
  <c r="II26" i="28"/>
  <c r="IJ26" i="28"/>
  <c r="IK26" i="28"/>
  <c r="IL26" i="28"/>
  <c r="IM26" i="28"/>
  <c r="IN26" i="28"/>
  <c r="IO26" i="28"/>
  <c r="IP26" i="28"/>
  <c r="IQ26" i="28"/>
  <c r="IR26" i="28"/>
  <c r="IS26" i="28"/>
  <c r="IT26" i="28"/>
  <c r="IU26" i="28"/>
  <c r="IV26" i="28"/>
  <c r="A25" i="28"/>
  <c r="B25" i="28"/>
  <c r="C25" i="28"/>
  <c r="D25" i="28"/>
  <c r="E25" i="28"/>
  <c r="F25" i="28"/>
  <c r="G25" i="28"/>
  <c r="H25" i="28"/>
  <c r="I25" i="28"/>
  <c r="J25" i="28"/>
  <c r="K25" i="28"/>
  <c r="L25" i="28"/>
  <c r="M25" i="28"/>
  <c r="N25" i="28"/>
  <c r="O25" i="28"/>
  <c r="P25" i="28"/>
  <c r="Q25" i="28"/>
  <c r="R25" i="28"/>
  <c r="S25" i="28"/>
  <c r="T25" i="28"/>
  <c r="U25" i="28"/>
  <c r="V25" i="28"/>
  <c r="W25" i="28"/>
  <c r="X25" i="28"/>
  <c r="Y25" i="28"/>
  <c r="Z25" i="28"/>
  <c r="AA25" i="28"/>
  <c r="AB25" i="28"/>
  <c r="AC25" i="28"/>
  <c r="AD25" i="28"/>
  <c r="AE25" i="28"/>
  <c r="AF25" i="28"/>
  <c r="AG25" i="28"/>
  <c r="AH25" i="28"/>
  <c r="AI25" i="28"/>
  <c r="AJ25" i="28"/>
  <c r="AK25" i="28"/>
  <c r="AL25" i="28"/>
  <c r="AM25" i="28"/>
  <c r="AN25" i="28"/>
  <c r="AO25" i="28"/>
  <c r="AP25" i="28"/>
  <c r="AQ25" i="28"/>
  <c r="AR25" i="28"/>
  <c r="AS25" i="28"/>
  <c r="AT25" i="28"/>
  <c r="AU25" i="28"/>
  <c r="AV25" i="28"/>
  <c r="AW25" i="28"/>
  <c r="AX25" i="28"/>
  <c r="AY25" i="28"/>
  <c r="AZ25" i="28"/>
  <c r="BA25" i="28"/>
  <c r="BB25" i="28"/>
  <c r="BC25" i="28"/>
  <c r="BD25" i="28"/>
  <c r="BE25" i="28"/>
  <c r="BF25" i="28"/>
  <c r="BG25" i="28"/>
  <c r="BH25" i="28"/>
  <c r="BI25" i="28"/>
  <c r="BJ25" i="28"/>
  <c r="BK25" i="28"/>
  <c r="BL25" i="28"/>
  <c r="BM25" i="28"/>
  <c r="BN25" i="28"/>
  <c r="BO25" i="28"/>
  <c r="BP25" i="28"/>
  <c r="BQ25" i="28"/>
  <c r="BR25" i="28"/>
  <c r="BS25" i="28"/>
  <c r="BT25" i="28"/>
  <c r="BU25" i="28"/>
  <c r="BV25" i="28"/>
  <c r="BW25" i="28"/>
  <c r="BX25" i="28"/>
  <c r="BY25" i="28"/>
  <c r="BZ25" i="28"/>
  <c r="CA25" i="28"/>
  <c r="CB25" i="28"/>
  <c r="CC25" i="28"/>
  <c r="CD25" i="28"/>
  <c r="CE25" i="28"/>
  <c r="CF25" i="28"/>
  <c r="CG25" i="28"/>
  <c r="CH25" i="28"/>
  <c r="CI25" i="28"/>
  <c r="CJ25" i="28"/>
  <c r="CK25" i="28"/>
  <c r="CL25" i="28"/>
  <c r="CM25" i="28"/>
  <c r="CN25" i="28"/>
  <c r="CO25" i="28"/>
  <c r="CP25" i="28"/>
  <c r="CQ25" i="28"/>
  <c r="CR25" i="28"/>
  <c r="CS25" i="28"/>
  <c r="CT25" i="28"/>
  <c r="CU25" i="28"/>
  <c r="CV25" i="28"/>
  <c r="CW25" i="28"/>
  <c r="CX25" i="28"/>
  <c r="CY25" i="28"/>
  <c r="CZ25" i="28"/>
  <c r="DA25" i="28"/>
  <c r="DB25" i="28"/>
  <c r="DC25" i="28"/>
  <c r="DD25" i="28"/>
  <c r="DE25" i="28"/>
  <c r="DF25" i="28"/>
  <c r="DG25" i="28"/>
  <c r="DH25" i="28"/>
  <c r="DI25" i="28"/>
  <c r="DJ25" i="28"/>
  <c r="DK25" i="28"/>
  <c r="DL25" i="28"/>
  <c r="DM25" i="28"/>
  <c r="DN25" i="28"/>
  <c r="DO25" i="28"/>
  <c r="DP25" i="28"/>
  <c r="DQ25" i="28"/>
  <c r="DR25" i="28"/>
  <c r="DS25" i="28"/>
  <c r="DT25" i="28"/>
  <c r="DU25" i="28"/>
  <c r="DV25" i="28"/>
  <c r="DW25" i="28"/>
  <c r="DX25" i="28"/>
  <c r="DY25" i="28"/>
  <c r="DZ25" i="28"/>
  <c r="EA25" i="28"/>
  <c r="EB25" i="28"/>
  <c r="EC25" i="28"/>
  <c r="ED25" i="28"/>
  <c r="EE25" i="28"/>
  <c r="EF25" i="28"/>
  <c r="EG25" i="28"/>
  <c r="EH25" i="28"/>
  <c r="EI25" i="28"/>
  <c r="EJ25" i="28"/>
  <c r="EK25" i="28"/>
  <c r="EL25" i="28"/>
  <c r="EM25" i="28"/>
  <c r="EN25" i="28"/>
  <c r="EO25" i="28"/>
  <c r="EP25" i="28"/>
  <c r="EQ25" i="28"/>
  <c r="ER25" i="28"/>
  <c r="ES25" i="28"/>
  <c r="ET25" i="28"/>
  <c r="EU25" i="28"/>
  <c r="EV25" i="28"/>
  <c r="EW25" i="28"/>
  <c r="EX25" i="28"/>
  <c r="EY25" i="28"/>
  <c r="EZ25" i="28"/>
  <c r="FA25" i="28"/>
  <c r="FB25" i="28"/>
  <c r="FC25" i="28"/>
  <c r="FD25" i="28"/>
  <c r="FE25" i="28"/>
  <c r="FF25" i="28"/>
  <c r="FG25" i="28"/>
  <c r="FH25" i="28"/>
  <c r="FI25" i="28"/>
  <c r="FJ25" i="28"/>
  <c r="FK25" i="28"/>
  <c r="FL25" i="28"/>
  <c r="FM25" i="28"/>
  <c r="FN25" i="28"/>
  <c r="FO25" i="28"/>
  <c r="FP25" i="28"/>
  <c r="FQ25" i="28"/>
  <c r="FR25" i="28"/>
  <c r="FS25" i="28"/>
  <c r="FT25" i="28"/>
  <c r="FU25" i="28"/>
  <c r="FV25" i="28"/>
  <c r="FW25" i="28"/>
  <c r="FX25" i="28"/>
  <c r="FY25" i="28"/>
  <c r="FZ25" i="28"/>
  <c r="GA25" i="28"/>
  <c r="GB25" i="28"/>
  <c r="GC25" i="28"/>
  <c r="GD25" i="28"/>
  <c r="GE25" i="28"/>
  <c r="GF25" i="28"/>
  <c r="GG25" i="28"/>
  <c r="GH25" i="28"/>
  <c r="GI25" i="28"/>
  <c r="GJ25" i="28"/>
  <c r="GK25" i="28"/>
  <c r="GL25" i="28"/>
  <c r="GM25" i="28"/>
  <c r="GN25" i="28"/>
  <c r="GO25" i="28"/>
  <c r="GP25" i="28"/>
  <c r="GQ25" i="28"/>
  <c r="GR25" i="28"/>
  <c r="GS25" i="28"/>
  <c r="GT25" i="28"/>
  <c r="GU25" i="28"/>
  <c r="GV25" i="28"/>
  <c r="GW25" i="28"/>
  <c r="GX25" i="28"/>
  <c r="GY25" i="28"/>
  <c r="GZ25" i="28"/>
  <c r="HA25" i="28"/>
  <c r="HB25" i="28"/>
  <c r="HC25" i="28"/>
  <c r="HD25" i="28"/>
  <c r="HE25" i="28"/>
  <c r="HF25" i="28"/>
  <c r="HG25" i="28"/>
  <c r="HH25" i="28"/>
  <c r="HI25" i="28"/>
  <c r="HJ25" i="28"/>
  <c r="HK25" i="28"/>
  <c r="HL25" i="28"/>
  <c r="HM25" i="28"/>
  <c r="HN25" i="28"/>
  <c r="HO25" i="28"/>
  <c r="HP25" i="28"/>
  <c r="HQ25" i="28"/>
  <c r="HR25" i="28"/>
  <c r="HS25" i="28"/>
  <c r="HT25" i="28"/>
  <c r="HU25" i="28"/>
  <c r="HV25" i="28"/>
  <c r="HW25" i="28"/>
  <c r="HX25" i="28"/>
  <c r="HY25" i="28"/>
  <c r="HZ25" i="28"/>
  <c r="IA25" i="28"/>
  <c r="IB25" i="28"/>
  <c r="IC25" i="28"/>
  <c r="ID25" i="28"/>
  <c r="IE25" i="28"/>
  <c r="IF25" i="28"/>
  <c r="IG25" i="28"/>
  <c r="IH25" i="28"/>
  <c r="II25" i="28"/>
  <c r="IJ25" i="28"/>
  <c r="IK25" i="28"/>
  <c r="IL25" i="28"/>
  <c r="IM25" i="28"/>
  <c r="IN25" i="28"/>
  <c r="IO25" i="28"/>
  <c r="IP25" i="28"/>
  <c r="IQ25" i="28"/>
  <c r="IR25" i="28"/>
  <c r="IS25" i="28"/>
  <c r="IT25" i="28"/>
  <c r="IU25" i="28"/>
  <c r="IV25" i="28"/>
  <c r="A24" i="28"/>
  <c r="B24" i="28"/>
  <c r="C24" i="28"/>
  <c r="D24" i="28"/>
  <c r="E24" i="28"/>
  <c r="F24" i="28"/>
  <c r="G24" i="28"/>
  <c r="H24" i="28"/>
  <c r="I24" i="28"/>
  <c r="J24" i="28"/>
  <c r="K24" i="28"/>
  <c r="L24" i="28"/>
  <c r="M24" i="28"/>
  <c r="N24" i="28"/>
  <c r="O24" i="28"/>
  <c r="P24" i="28"/>
  <c r="Q24" i="28"/>
  <c r="R24" i="28"/>
  <c r="S24" i="28"/>
  <c r="T24" i="28"/>
  <c r="U24" i="28"/>
  <c r="V24" i="28"/>
  <c r="W24" i="28"/>
  <c r="X24" i="28"/>
  <c r="Y24" i="28"/>
  <c r="Z24" i="28"/>
  <c r="AA24" i="28"/>
  <c r="AB24" i="28"/>
  <c r="AC24" i="28"/>
  <c r="AD24" i="28"/>
  <c r="AE24" i="28"/>
  <c r="AF24" i="28"/>
  <c r="AG24" i="28"/>
  <c r="AH24" i="28"/>
  <c r="AI24" i="28"/>
  <c r="AJ24" i="28"/>
  <c r="AK24" i="28"/>
  <c r="AL24" i="28"/>
  <c r="AM24" i="28"/>
  <c r="AN24" i="28"/>
  <c r="AO24" i="28"/>
  <c r="AP24" i="28"/>
  <c r="AQ24" i="28"/>
  <c r="AR24" i="28"/>
  <c r="AS24" i="28"/>
  <c r="AT24" i="28"/>
  <c r="AU24" i="28"/>
  <c r="AV24" i="28"/>
  <c r="AW24" i="28"/>
  <c r="AX24" i="28"/>
  <c r="AY24" i="28"/>
  <c r="AZ24" i="28"/>
  <c r="BA24" i="28"/>
  <c r="BB24" i="28"/>
  <c r="BC24" i="28"/>
  <c r="BD24" i="28"/>
  <c r="BE24" i="28"/>
  <c r="BF24" i="28"/>
  <c r="BG24" i="28"/>
  <c r="BH24" i="28"/>
  <c r="BI24" i="28"/>
  <c r="BJ24" i="28"/>
  <c r="BK24" i="28"/>
  <c r="BL24" i="28"/>
  <c r="BM24" i="28"/>
  <c r="BN24" i="28"/>
  <c r="BO24" i="28"/>
  <c r="BP24" i="28"/>
  <c r="BQ24" i="28"/>
  <c r="BR24" i="28"/>
  <c r="BS24" i="28"/>
  <c r="BT24" i="28"/>
  <c r="BU24" i="28"/>
  <c r="BV24" i="28"/>
  <c r="BW24" i="28"/>
  <c r="BX24" i="28"/>
  <c r="BY24" i="28"/>
  <c r="BZ24" i="28"/>
  <c r="CA24" i="28"/>
  <c r="CB24" i="28"/>
  <c r="CC24" i="28"/>
  <c r="CD24" i="28"/>
  <c r="CE24" i="28"/>
  <c r="CF24" i="28"/>
  <c r="CG24" i="28"/>
  <c r="CH24" i="28"/>
  <c r="CI24" i="28"/>
  <c r="CJ24" i="28"/>
  <c r="CK24" i="28"/>
  <c r="CL24" i="28"/>
  <c r="CM24" i="28"/>
  <c r="CN24" i="28"/>
  <c r="CO24" i="28"/>
  <c r="CP24" i="28"/>
  <c r="CQ24" i="28"/>
  <c r="CR24" i="28"/>
  <c r="CS24" i="28"/>
  <c r="CT24" i="28"/>
  <c r="CU24" i="28"/>
  <c r="CV24" i="28"/>
  <c r="CW24" i="28"/>
  <c r="CX24" i="28"/>
  <c r="CY24" i="28"/>
  <c r="CZ24" i="28"/>
  <c r="DA24" i="28"/>
  <c r="DB24" i="28"/>
  <c r="DC24" i="28"/>
  <c r="DD24" i="28"/>
  <c r="DE24" i="28"/>
  <c r="DF24" i="28"/>
  <c r="DG24" i="28"/>
  <c r="DH24" i="28"/>
  <c r="DI24" i="28"/>
  <c r="DJ24" i="28"/>
  <c r="DK24" i="28"/>
  <c r="DL24" i="28"/>
  <c r="DM24" i="28"/>
  <c r="DN24" i="28"/>
  <c r="DO24" i="28"/>
  <c r="DP24" i="28"/>
  <c r="DQ24" i="28"/>
  <c r="DR24" i="28"/>
  <c r="DS24" i="28"/>
  <c r="DT24" i="28"/>
  <c r="DU24" i="28"/>
  <c r="DV24" i="28"/>
  <c r="DW24" i="28"/>
  <c r="DX24" i="28"/>
  <c r="DY24" i="28"/>
  <c r="DZ24" i="28"/>
  <c r="EA24" i="28"/>
  <c r="EB24" i="28"/>
  <c r="EC24" i="28"/>
  <c r="ED24" i="28"/>
  <c r="EE24" i="28"/>
  <c r="EF24" i="28"/>
  <c r="EG24" i="28"/>
  <c r="EH24" i="28"/>
  <c r="EI24" i="28"/>
  <c r="EJ24" i="28"/>
  <c r="EK24" i="28"/>
  <c r="EL24" i="28"/>
  <c r="EM24" i="28"/>
  <c r="EN24" i="28"/>
  <c r="EO24" i="28"/>
  <c r="EP24" i="28"/>
  <c r="EQ24" i="28"/>
  <c r="ER24" i="28"/>
  <c r="ES24" i="28"/>
  <c r="ET24" i="28"/>
  <c r="EU24" i="28"/>
  <c r="EV24" i="28"/>
  <c r="EW24" i="28"/>
  <c r="EX24" i="28"/>
  <c r="EY24" i="28"/>
  <c r="EZ24" i="28"/>
  <c r="FA24" i="28"/>
  <c r="FB24" i="28"/>
  <c r="FC24" i="28"/>
  <c r="FD24" i="28"/>
  <c r="FE24" i="28"/>
  <c r="FF24" i="28"/>
  <c r="FG24" i="28"/>
  <c r="FH24" i="28"/>
  <c r="FI24" i="28"/>
  <c r="FJ24" i="28"/>
  <c r="FK24" i="28"/>
  <c r="FL24" i="28"/>
  <c r="FM24" i="28"/>
  <c r="FN24" i="28"/>
  <c r="FO24" i="28"/>
  <c r="FP24" i="28"/>
  <c r="FQ24" i="28"/>
  <c r="FR24" i="28"/>
  <c r="FS24" i="28"/>
  <c r="FT24" i="28"/>
  <c r="FU24" i="28"/>
  <c r="FV24" i="28"/>
  <c r="FW24" i="28"/>
  <c r="FX24" i="28"/>
  <c r="FY24" i="28"/>
  <c r="FZ24" i="28"/>
  <c r="GA24" i="28"/>
  <c r="GB24" i="28"/>
  <c r="GC24" i="28"/>
  <c r="GD24" i="28"/>
  <c r="GE24" i="28"/>
  <c r="GF24" i="28"/>
  <c r="GG24" i="28"/>
  <c r="GH24" i="28"/>
  <c r="GI24" i="28"/>
  <c r="GJ24" i="28"/>
  <c r="GK24" i="28"/>
  <c r="GL24" i="28"/>
  <c r="GM24" i="28"/>
  <c r="GN24" i="28"/>
  <c r="GO24" i="28"/>
  <c r="GP24" i="28"/>
  <c r="GQ24" i="28"/>
  <c r="GR24" i="28"/>
  <c r="GS24" i="28"/>
  <c r="GT24" i="28"/>
  <c r="GU24" i="28"/>
  <c r="GV24" i="28"/>
  <c r="GW24" i="28"/>
  <c r="GX24" i="28"/>
  <c r="GY24" i="28"/>
  <c r="GZ24" i="28"/>
  <c r="HA24" i="28"/>
  <c r="HB24" i="28"/>
  <c r="HC24" i="28"/>
  <c r="HD24" i="28"/>
  <c r="HE24" i="28"/>
  <c r="HF24" i="28"/>
  <c r="HG24" i="28"/>
  <c r="HH24" i="28"/>
  <c r="HI24" i="28"/>
  <c r="HJ24" i="28"/>
  <c r="HK24" i="28"/>
  <c r="HL24" i="28"/>
  <c r="HM24" i="28"/>
  <c r="HN24" i="28"/>
  <c r="HO24" i="28"/>
  <c r="HP24" i="28"/>
  <c r="HQ24" i="28"/>
  <c r="HR24" i="28"/>
  <c r="HS24" i="28"/>
  <c r="HT24" i="28"/>
  <c r="HU24" i="28"/>
  <c r="HV24" i="28"/>
  <c r="HW24" i="28"/>
  <c r="HX24" i="28"/>
  <c r="HY24" i="28"/>
  <c r="HZ24" i="28"/>
  <c r="IA24" i="28"/>
  <c r="IB24" i="28"/>
  <c r="IC24" i="28"/>
  <c r="ID24" i="28"/>
  <c r="IE24" i="28"/>
  <c r="IF24" i="28"/>
  <c r="IG24" i="28"/>
  <c r="IH24" i="28"/>
  <c r="II24" i="28"/>
  <c r="IJ24" i="28"/>
  <c r="IK24" i="28"/>
  <c r="IL24" i="28"/>
  <c r="IM24" i="28"/>
  <c r="IN24" i="28"/>
  <c r="IO24" i="28"/>
  <c r="IP24" i="28"/>
  <c r="IQ24" i="28"/>
  <c r="IR24" i="28"/>
  <c r="IS24" i="28"/>
  <c r="IT24" i="28"/>
  <c r="IU24" i="28"/>
  <c r="IV24" i="28"/>
  <c r="A23" i="28"/>
  <c r="B23" i="28"/>
  <c r="C23" i="28"/>
  <c r="D23" i="28"/>
  <c r="E23" i="28"/>
  <c r="F23" i="28"/>
  <c r="G23" i="28"/>
  <c r="H23" i="28"/>
  <c r="I23" i="28"/>
  <c r="J23" i="28"/>
  <c r="K23" i="28"/>
  <c r="L23" i="28"/>
  <c r="M23" i="28"/>
  <c r="N23" i="28"/>
  <c r="O23" i="28"/>
  <c r="P23" i="28"/>
  <c r="Q23" i="28"/>
  <c r="R23" i="28"/>
  <c r="S23" i="28"/>
  <c r="T23" i="28"/>
  <c r="U23" i="28"/>
  <c r="V23" i="28"/>
  <c r="W23" i="28"/>
  <c r="X23" i="28"/>
  <c r="Y23" i="28"/>
  <c r="Z23" i="28"/>
  <c r="AA23" i="28"/>
  <c r="AB23" i="28"/>
  <c r="AC23" i="28"/>
  <c r="AD23" i="28"/>
  <c r="AE23" i="28"/>
  <c r="AF23" i="28"/>
  <c r="AG23" i="28"/>
  <c r="AH23" i="28"/>
  <c r="AI23" i="28"/>
  <c r="AJ23" i="28"/>
  <c r="AK23" i="28"/>
  <c r="AL23" i="28"/>
  <c r="AM23" i="28"/>
  <c r="AN23" i="28"/>
  <c r="AO23" i="28"/>
  <c r="AP23" i="28"/>
  <c r="AQ23" i="28"/>
  <c r="AR23" i="28"/>
  <c r="AS23" i="28"/>
  <c r="AT23" i="28"/>
  <c r="AU23" i="28"/>
  <c r="AV23" i="28"/>
  <c r="AW23" i="28"/>
  <c r="AX23" i="28"/>
  <c r="AY23" i="28"/>
  <c r="AZ23" i="28"/>
  <c r="BA23" i="28"/>
  <c r="BB23" i="28"/>
  <c r="BC23" i="28"/>
  <c r="BD23" i="28"/>
  <c r="BE23" i="28"/>
  <c r="BF23" i="28"/>
  <c r="BG23" i="28"/>
  <c r="BH23" i="28"/>
  <c r="BI23" i="28"/>
  <c r="BJ23" i="28"/>
  <c r="BK23" i="28"/>
  <c r="BL23" i="28"/>
  <c r="BM23" i="28"/>
  <c r="BN23" i="28"/>
  <c r="BO23" i="28"/>
  <c r="BP23" i="28"/>
  <c r="BQ23" i="28"/>
  <c r="BR23" i="28"/>
  <c r="BS23" i="28"/>
  <c r="BT23" i="28"/>
  <c r="BU23" i="28"/>
  <c r="BV23" i="28"/>
  <c r="BW23" i="28"/>
  <c r="BX23" i="28"/>
  <c r="BY23" i="28"/>
  <c r="BZ23" i="28"/>
  <c r="CA23" i="28"/>
  <c r="CB23" i="28"/>
  <c r="CC23" i="28"/>
  <c r="CD23" i="28"/>
  <c r="CE23" i="28"/>
  <c r="CF23" i="28"/>
  <c r="CG23" i="28"/>
  <c r="CH23" i="28"/>
  <c r="CI23" i="28"/>
  <c r="CJ23" i="28"/>
  <c r="CK23" i="28"/>
  <c r="CL23" i="28"/>
  <c r="CM23" i="28"/>
  <c r="CN23" i="28"/>
  <c r="CO23" i="28"/>
  <c r="CP23" i="28"/>
  <c r="CQ23" i="28"/>
  <c r="CR23" i="28"/>
  <c r="CS23" i="28"/>
  <c r="CT23" i="28"/>
  <c r="CU23" i="28"/>
  <c r="CV23" i="28"/>
  <c r="CW23" i="28"/>
  <c r="CX23" i="28"/>
  <c r="CY23" i="28"/>
  <c r="CZ23" i="28"/>
  <c r="DA23" i="28"/>
  <c r="DB23" i="28"/>
  <c r="DC23" i="28"/>
  <c r="DD23" i="28"/>
  <c r="DE23" i="28"/>
  <c r="DF23" i="28"/>
  <c r="DG23" i="28"/>
  <c r="DH23" i="28"/>
  <c r="DI23" i="28"/>
  <c r="DJ23" i="28"/>
  <c r="DK23" i="28"/>
  <c r="DL23" i="28"/>
  <c r="DM23" i="28"/>
  <c r="DN23" i="28"/>
  <c r="DO23" i="28"/>
  <c r="DP23" i="28"/>
  <c r="DQ23" i="28"/>
  <c r="DR23" i="28"/>
  <c r="DS23" i="28"/>
  <c r="DT23" i="28"/>
  <c r="DU23" i="28"/>
  <c r="DV23" i="28"/>
  <c r="DW23" i="28"/>
  <c r="DX23" i="28"/>
  <c r="DY23" i="28"/>
  <c r="DZ23" i="28"/>
  <c r="EA23" i="28"/>
  <c r="EB23" i="28"/>
  <c r="EC23" i="28"/>
  <c r="ED23" i="28"/>
  <c r="EE23" i="28"/>
  <c r="EF23" i="28"/>
  <c r="EG23" i="28"/>
  <c r="EH23" i="28"/>
  <c r="EI23" i="28"/>
  <c r="EJ23" i="28"/>
  <c r="EK23" i="28"/>
  <c r="EL23" i="28"/>
  <c r="EM23" i="28"/>
  <c r="EN23" i="28"/>
  <c r="EO23" i="28"/>
  <c r="EP23" i="28"/>
  <c r="EQ23" i="28"/>
  <c r="ER23" i="28"/>
  <c r="ES23" i="28"/>
  <c r="ET23" i="28"/>
  <c r="EU23" i="28"/>
  <c r="EV23" i="28"/>
  <c r="EW23" i="28"/>
  <c r="EX23" i="28"/>
  <c r="EY23" i="28"/>
  <c r="EZ23" i="28"/>
  <c r="FA23" i="28"/>
  <c r="FB23" i="28"/>
  <c r="FC23" i="28"/>
  <c r="FD23" i="28"/>
  <c r="FE23" i="28"/>
  <c r="FF23" i="28"/>
  <c r="FG23" i="28"/>
  <c r="FH23" i="28"/>
  <c r="FI23" i="28"/>
  <c r="FJ23" i="28"/>
  <c r="FK23" i="28"/>
  <c r="FL23" i="28"/>
  <c r="FM23" i="28"/>
  <c r="FN23" i="28"/>
  <c r="FO23" i="28"/>
  <c r="FP23" i="28"/>
  <c r="FQ23" i="28"/>
  <c r="FR23" i="28"/>
  <c r="FS23" i="28"/>
  <c r="FT23" i="28"/>
  <c r="FU23" i="28"/>
  <c r="FV23" i="28"/>
  <c r="FW23" i="28"/>
  <c r="FX23" i="28"/>
  <c r="FY23" i="28"/>
  <c r="FZ23" i="28"/>
  <c r="GA23" i="28"/>
  <c r="GB23" i="28"/>
  <c r="GC23" i="28"/>
  <c r="GD23" i="28"/>
  <c r="GE23" i="28"/>
  <c r="GF23" i="28"/>
  <c r="GG23" i="28"/>
  <c r="GH23" i="28"/>
  <c r="GI23" i="28"/>
  <c r="GJ23" i="28"/>
  <c r="GK23" i="28"/>
  <c r="GL23" i="28"/>
  <c r="GM23" i="28"/>
  <c r="GN23" i="28"/>
  <c r="GO23" i="28"/>
  <c r="GP23" i="28"/>
  <c r="GQ23" i="28"/>
  <c r="GR23" i="28"/>
  <c r="GS23" i="28"/>
  <c r="GT23" i="28"/>
  <c r="GU23" i="28"/>
  <c r="GV23" i="28"/>
  <c r="GW23" i="28"/>
  <c r="GX23" i="28"/>
  <c r="GY23" i="28"/>
  <c r="GZ23" i="28"/>
  <c r="HA23" i="28"/>
  <c r="HB23" i="28"/>
  <c r="HC23" i="28"/>
  <c r="HD23" i="28"/>
  <c r="HE23" i="28"/>
  <c r="HF23" i="28"/>
  <c r="HG23" i="28"/>
  <c r="HH23" i="28"/>
  <c r="HI23" i="28"/>
  <c r="HJ23" i="28"/>
  <c r="HK23" i="28"/>
  <c r="HL23" i="28"/>
  <c r="HM23" i="28"/>
  <c r="HN23" i="28"/>
  <c r="HO23" i="28"/>
  <c r="HP23" i="28"/>
  <c r="HQ23" i="28"/>
  <c r="HR23" i="28"/>
  <c r="HS23" i="28"/>
  <c r="HT23" i="28"/>
  <c r="HU23" i="28"/>
  <c r="HV23" i="28"/>
  <c r="HW23" i="28"/>
  <c r="HX23" i="28"/>
  <c r="HY23" i="28"/>
  <c r="HZ23" i="28"/>
  <c r="IA23" i="28"/>
  <c r="IB23" i="28"/>
  <c r="IC23" i="28"/>
  <c r="ID23" i="28"/>
  <c r="IE23" i="28"/>
  <c r="IF23" i="28"/>
  <c r="IG23" i="28"/>
  <c r="IH23" i="28"/>
  <c r="II23" i="28"/>
  <c r="IJ23" i="28"/>
  <c r="IK23" i="28"/>
  <c r="IL23" i="28"/>
  <c r="IM23" i="28"/>
  <c r="IN23" i="28"/>
  <c r="IO23" i="28"/>
  <c r="IP23" i="28"/>
  <c r="IQ23" i="28"/>
  <c r="IR23" i="28"/>
  <c r="IS23" i="28"/>
  <c r="IT23" i="28"/>
  <c r="IU23" i="28"/>
  <c r="IV23" i="28"/>
  <c r="A22" i="28"/>
  <c r="B22" i="28"/>
  <c r="C22" i="28"/>
  <c r="D22" i="28"/>
  <c r="E22" i="28"/>
  <c r="F22" i="28"/>
  <c r="G22" i="28"/>
  <c r="H22" i="28"/>
  <c r="I22" i="28"/>
  <c r="J22" i="28"/>
  <c r="K22" i="28"/>
  <c r="L22" i="28"/>
  <c r="M22" i="28"/>
  <c r="N22" i="28"/>
  <c r="O22" i="28"/>
  <c r="P22" i="28"/>
  <c r="Q22" i="28"/>
  <c r="R22" i="28"/>
  <c r="S22" i="28"/>
  <c r="T22" i="28"/>
  <c r="U22" i="28"/>
  <c r="V22" i="28"/>
  <c r="W22" i="28"/>
  <c r="X22" i="28"/>
  <c r="Y22" i="28"/>
  <c r="Z22" i="28"/>
  <c r="AA22" i="28"/>
  <c r="AB22" i="28"/>
  <c r="AC22" i="28"/>
  <c r="AD22" i="28"/>
  <c r="AE22" i="28"/>
  <c r="AF22" i="28"/>
  <c r="AG22" i="28"/>
  <c r="AH22" i="28"/>
  <c r="AI22" i="28"/>
  <c r="AJ22" i="28"/>
  <c r="AK22" i="28"/>
  <c r="AL22" i="28"/>
  <c r="AM22" i="28"/>
  <c r="AN22" i="28"/>
  <c r="AO22" i="28"/>
  <c r="AP22" i="28"/>
  <c r="AQ22" i="28"/>
  <c r="AR22" i="28"/>
  <c r="AS22" i="28"/>
  <c r="AT22" i="28"/>
  <c r="AU22" i="28"/>
  <c r="AV22" i="28"/>
  <c r="AW22" i="28"/>
  <c r="AX22" i="28"/>
  <c r="AY22" i="28"/>
  <c r="AZ22" i="28"/>
  <c r="BA22" i="28"/>
  <c r="BB22" i="28"/>
  <c r="BC22" i="28"/>
  <c r="BD22" i="28"/>
  <c r="BE22" i="28"/>
  <c r="BF22" i="28"/>
  <c r="BG22" i="28"/>
  <c r="BH22" i="28"/>
  <c r="BI22" i="28"/>
  <c r="BJ22" i="28"/>
  <c r="BK22" i="28"/>
  <c r="BL22" i="28"/>
  <c r="BM22" i="28"/>
  <c r="BN22" i="28"/>
  <c r="BO22" i="28"/>
  <c r="BP22" i="28"/>
  <c r="BQ22" i="28"/>
  <c r="BR22" i="28"/>
  <c r="BS22" i="28"/>
  <c r="BT22" i="28"/>
  <c r="BU22" i="28"/>
  <c r="BV22" i="28"/>
  <c r="BW22" i="28"/>
  <c r="BX22" i="28"/>
  <c r="BY22" i="28"/>
  <c r="BZ22" i="28"/>
  <c r="CA22" i="28"/>
  <c r="CB22" i="28"/>
  <c r="CC22" i="28"/>
  <c r="CD22" i="28"/>
  <c r="CE22" i="28"/>
  <c r="CF22" i="28"/>
  <c r="CG22" i="28"/>
  <c r="CH22" i="28"/>
  <c r="CI22" i="28"/>
  <c r="CJ22" i="28"/>
  <c r="CK22" i="28"/>
  <c r="CL22" i="28"/>
  <c r="CM22" i="28"/>
  <c r="CN22" i="28"/>
  <c r="CO22" i="28"/>
  <c r="CP22" i="28"/>
  <c r="CQ22" i="28"/>
  <c r="CR22" i="28"/>
  <c r="CS22" i="28"/>
  <c r="CT22" i="28"/>
  <c r="CU22" i="28"/>
  <c r="CV22" i="28"/>
  <c r="CW22" i="28"/>
  <c r="CX22" i="28"/>
  <c r="CY22" i="28"/>
  <c r="CZ22" i="28"/>
  <c r="DA22" i="28"/>
  <c r="DB22" i="28"/>
  <c r="DC22" i="28"/>
  <c r="DD22" i="28"/>
  <c r="DE22" i="28"/>
  <c r="DF22" i="28"/>
  <c r="DG22" i="28"/>
  <c r="DH22" i="28"/>
  <c r="DI22" i="28"/>
  <c r="DJ22" i="28"/>
  <c r="DK22" i="28"/>
  <c r="DL22" i="28"/>
  <c r="DM22" i="28"/>
  <c r="DN22" i="28"/>
  <c r="DO22" i="28"/>
  <c r="DP22" i="28"/>
  <c r="DQ22" i="28"/>
  <c r="DR22" i="28"/>
  <c r="DS22" i="28"/>
  <c r="DT22" i="28"/>
  <c r="DU22" i="28"/>
  <c r="DV22" i="28"/>
  <c r="DW22" i="28"/>
  <c r="DX22" i="28"/>
  <c r="DY22" i="28"/>
  <c r="DZ22" i="28"/>
  <c r="EA22" i="28"/>
  <c r="EB22" i="28"/>
  <c r="EC22" i="28"/>
  <c r="ED22" i="28"/>
  <c r="EE22" i="28"/>
  <c r="EF22" i="28"/>
  <c r="EG22" i="28"/>
  <c r="EH22" i="28"/>
  <c r="EI22" i="28"/>
  <c r="EJ22" i="28"/>
  <c r="EK22" i="28"/>
  <c r="EL22" i="28"/>
  <c r="EM22" i="28"/>
  <c r="EN22" i="28"/>
  <c r="EO22" i="28"/>
  <c r="EP22" i="28"/>
  <c r="EQ22" i="28"/>
  <c r="ER22" i="28"/>
  <c r="ES22" i="28"/>
  <c r="ET22" i="28"/>
  <c r="EU22" i="28"/>
  <c r="EV22" i="28"/>
  <c r="EW22" i="28"/>
  <c r="EX22" i="28"/>
  <c r="EY22" i="28"/>
  <c r="EZ22" i="28"/>
  <c r="FA22" i="28"/>
  <c r="FB22" i="28"/>
  <c r="FC22" i="28"/>
  <c r="FD22" i="28"/>
  <c r="FE22" i="28"/>
  <c r="FF22" i="28"/>
  <c r="FG22" i="28"/>
  <c r="FH22" i="28"/>
  <c r="FI22" i="28"/>
  <c r="FJ22" i="28"/>
  <c r="FK22" i="28"/>
  <c r="FL22" i="28"/>
  <c r="FM22" i="28"/>
  <c r="FN22" i="28"/>
  <c r="FO22" i="28"/>
  <c r="FP22" i="28"/>
  <c r="FQ22" i="28"/>
  <c r="FR22" i="28"/>
  <c r="FS22" i="28"/>
  <c r="FT22" i="28"/>
  <c r="FU22" i="28"/>
  <c r="FV22" i="28"/>
  <c r="FW22" i="28"/>
  <c r="FX22" i="28"/>
  <c r="FY22" i="28"/>
  <c r="FZ22" i="28"/>
  <c r="GA22" i="28"/>
  <c r="GB22" i="28"/>
  <c r="GC22" i="28"/>
  <c r="GD22" i="28"/>
  <c r="GE22" i="28"/>
  <c r="GF22" i="28"/>
  <c r="GG22" i="28"/>
  <c r="GH22" i="28"/>
  <c r="GI22" i="28"/>
  <c r="GJ22" i="28"/>
  <c r="GK22" i="28"/>
  <c r="GL22" i="28"/>
  <c r="GM22" i="28"/>
  <c r="GN22" i="28"/>
  <c r="GO22" i="28"/>
  <c r="GP22" i="28"/>
  <c r="GQ22" i="28"/>
  <c r="GR22" i="28"/>
  <c r="GS22" i="28"/>
  <c r="GT22" i="28"/>
  <c r="GU22" i="28"/>
  <c r="GV22" i="28"/>
  <c r="GW22" i="28"/>
  <c r="GX22" i="28"/>
  <c r="GY22" i="28"/>
  <c r="GZ22" i="28"/>
  <c r="HA22" i="28"/>
  <c r="HB22" i="28"/>
  <c r="HC22" i="28"/>
  <c r="HD22" i="28"/>
  <c r="HE22" i="28"/>
  <c r="HF22" i="28"/>
  <c r="HG22" i="28"/>
  <c r="HH22" i="28"/>
  <c r="HI22" i="28"/>
  <c r="HJ22" i="28"/>
  <c r="HK22" i="28"/>
  <c r="HL22" i="28"/>
  <c r="HM22" i="28"/>
  <c r="HN22" i="28"/>
  <c r="HO22" i="28"/>
  <c r="HP22" i="28"/>
  <c r="HQ22" i="28"/>
  <c r="HR22" i="28"/>
  <c r="HS22" i="28"/>
  <c r="HT22" i="28"/>
  <c r="HU22" i="28"/>
  <c r="HV22" i="28"/>
  <c r="HW22" i="28"/>
  <c r="HX22" i="28"/>
  <c r="HY22" i="28"/>
  <c r="HZ22" i="28"/>
  <c r="IA22" i="28"/>
  <c r="IB22" i="28"/>
  <c r="IC22" i="28"/>
  <c r="ID22" i="28"/>
  <c r="IE22" i="28"/>
  <c r="IF22" i="28"/>
  <c r="IG22" i="28"/>
  <c r="IH22" i="28"/>
  <c r="II22" i="28"/>
  <c r="IJ22" i="28"/>
  <c r="IK22" i="28"/>
  <c r="IL22" i="28"/>
  <c r="IM22" i="28"/>
  <c r="IN22" i="28"/>
  <c r="IO22" i="28"/>
  <c r="IP22" i="28"/>
  <c r="IQ22" i="28"/>
  <c r="IR22" i="28"/>
  <c r="IS22" i="28"/>
  <c r="IT22" i="28"/>
  <c r="IU22" i="28"/>
  <c r="IV22" i="28"/>
  <c r="A21" i="28"/>
  <c r="B21" i="28"/>
  <c r="C21" i="28"/>
  <c r="D21" i="28"/>
  <c r="E21" i="28"/>
  <c r="F21" i="28"/>
  <c r="G21" i="28"/>
  <c r="H21" i="28"/>
  <c r="I21" i="28"/>
  <c r="J21" i="28"/>
  <c r="K21" i="28"/>
  <c r="L21" i="28"/>
  <c r="M21" i="28"/>
  <c r="N21" i="28"/>
  <c r="O21" i="28"/>
  <c r="P21" i="28"/>
  <c r="Q21" i="28"/>
  <c r="R21" i="28"/>
  <c r="S21" i="28"/>
  <c r="T21" i="28"/>
  <c r="U21" i="28"/>
  <c r="V21" i="28"/>
  <c r="W21" i="28"/>
  <c r="X21" i="28"/>
  <c r="Y21" i="28"/>
  <c r="Z21" i="28"/>
  <c r="AA21" i="28"/>
  <c r="AB21" i="28"/>
  <c r="AC21" i="28"/>
  <c r="AD21" i="28"/>
  <c r="AE21" i="28"/>
  <c r="AF21" i="28"/>
  <c r="AG21" i="28"/>
  <c r="AH21" i="28"/>
  <c r="AI21" i="28"/>
  <c r="AJ21" i="28"/>
  <c r="AK21" i="28"/>
  <c r="AL21" i="28"/>
  <c r="AM21" i="28"/>
  <c r="AN21" i="28"/>
  <c r="AO21" i="28"/>
  <c r="AP21" i="28"/>
  <c r="AQ21" i="28"/>
  <c r="AR21" i="28"/>
  <c r="AS21" i="28"/>
  <c r="AT21" i="28"/>
  <c r="AU21" i="28"/>
  <c r="AV21" i="28"/>
  <c r="AW21" i="28"/>
  <c r="AX21" i="28"/>
  <c r="AY21" i="28"/>
  <c r="AZ21" i="28"/>
  <c r="BA21" i="28"/>
  <c r="BB21" i="28"/>
  <c r="BC21" i="28"/>
  <c r="BD21" i="28"/>
  <c r="BE21" i="28"/>
  <c r="BF21" i="28"/>
  <c r="BG21" i="28"/>
  <c r="BH21" i="28"/>
  <c r="BI21" i="28"/>
  <c r="BJ21" i="28"/>
  <c r="BK21" i="28"/>
  <c r="BL21" i="28"/>
  <c r="BM21" i="28"/>
  <c r="BN21" i="28"/>
  <c r="BO21" i="28"/>
  <c r="BP21" i="28"/>
  <c r="BQ21" i="28"/>
  <c r="BR21" i="28"/>
  <c r="BS21" i="28"/>
  <c r="BT21" i="28"/>
  <c r="BU21" i="28"/>
  <c r="BV21" i="28"/>
  <c r="BW21" i="28"/>
  <c r="BX21" i="28"/>
  <c r="BY21" i="28"/>
  <c r="BZ21" i="28"/>
  <c r="CA21" i="28"/>
  <c r="CB21" i="28"/>
  <c r="CC21" i="28"/>
  <c r="CD21" i="28"/>
  <c r="CE21" i="28"/>
  <c r="CF21" i="28"/>
  <c r="CG21" i="28"/>
  <c r="CH21" i="28"/>
  <c r="CI21" i="28"/>
  <c r="CJ21" i="28"/>
  <c r="CK21" i="28"/>
  <c r="CL21" i="28"/>
  <c r="CM21" i="28"/>
  <c r="CN21" i="28"/>
  <c r="CO21" i="28"/>
  <c r="CP21" i="28"/>
  <c r="CQ21" i="28"/>
  <c r="CR21" i="28"/>
  <c r="CS21" i="28"/>
  <c r="CT21" i="28"/>
  <c r="CU21" i="28"/>
  <c r="CV21" i="28"/>
  <c r="CW21" i="28"/>
  <c r="CX21" i="28"/>
  <c r="CY21" i="28"/>
  <c r="CZ21" i="28"/>
  <c r="DA21" i="28"/>
  <c r="DB21" i="28"/>
  <c r="DC21" i="28"/>
  <c r="DD21" i="28"/>
  <c r="DE21" i="28"/>
  <c r="DF21" i="28"/>
  <c r="DG21" i="28"/>
  <c r="DH21" i="28"/>
  <c r="DI21" i="28"/>
  <c r="DJ21" i="28"/>
  <c r="DK21" i="28"/>
  <c r="DL21" i="28"/>
  <c r="DM21" i="28"/>
  <c r="DN21" i="28"/>
  <c r="DO21" i="28"/>
  <c r="DP21" i="28"/>
  <c r="DQ21" i="28"/>
  <c r="DR21" i="28"/>
  <c r="DS21" i="28"/>
  <c r="DT21" i="28"/>
  <c r="DU21" i="28"/>
  <c r="DV21" i="28"/>
  <c r="DW21" i="28"/>
  <c r="DX21" i="28"/>
  <c r="DY21" i="28"/>
  <c r="DZ21" i="28"/>
  <c r="EA21" i="28"/>
  <c r="EB21" i="28"/>
  <c r="EC21" i="28"/>
  <c r="ED21" i="28"/>
  <c r="EE21" i="28"/>
  <c r="EF21" i="28"/>
  <c r="EG21" i="28"/>
  <c r="EH21" i="28"/>
  <c r="EI21" i="28"/>
  <c r="EJ21" i="28"/>
  <c r="EK21" i="28"/>
  <c r="EL21" i="28"/>
  <c r="EM21" i="28"/>
  <c r="EN21" i="28"/>
  <c r="EO21" i="28"/>
  <c r="EP21" i="28"/>
  <c r="EQ21" i="28"/>
  <c r="ER21" i="28"/>
  <c r="ES21" i="28"/>
  <c r="ET21" i="28"/>
  <c r="EU21" i="28"/>
  <c r="EV21" i="28"/>
  <c r="EW21" i="28"/>
  <c r="EX21" i="28"/>
  <c r="EY21" i="28"/>
  <c r="EZ21" i="28"/>
  <c r="FA21" i="28"/>
  <c r="FB21" i="28"/>
  <c r="FC21" i="28"/>
  <c r="FD21" i="28"/>
  <c r="FE21" i="28"/>
  <c r="FF21" i="28"/>
  <c r="FG21" i="28"/>
  <c r="FH21" i="28"/>
  <c r="FI21" i="28"/>
  <c r="FJ21" i="28"/>
  <c r="FK21" i="28"/>
  <c r="FL21" i="28"/>
  <c r="FM21" i="28"/>
  <c r="FN21" i="28"/>
  <c r="FO21" i="28"/>
  <c r="FP21" i="28"/>
  <c r="FQ21" i="28"/>
  <c r="FR21" i="28"/>
  <c r="FS21" i="28"/>
  <c r="FT21" i="28"/>
  <c r="FU21" i="28"/>
  <c r="FV21" i="28"/>
  <c r="FW21" i="28"/>
  <c r="FX21" i="28"/>
  <c r="FY21" i="28"/>
  <c r="FZ21" i="28"/>
  <c r="GA21" i="28"/>
  <c r="GB21" i="28"/>
  <c r="GC21" i="28"/>
  <c r="GD21" i="28"/>
  <c r="GE21" i="28"/>
  <c r="GF21" i="28"/>
  <c r="GG21" i="28"/>
  <c r="GH21" i="28"/>
  <c r="GI21" i="28"/>
  <c r="GJ21" i="28"/>
  <c r="GK21" i="28"/>
  <c r="GL21" i="28"/>
  <c r="GM21" i="28"/>
  <c r="GN21" i="28"/>
  <c r="GO21" i="28"/>
  <c r="GP21" i="28"/>
  <c r="GQ21" i="28"/>
  <c r="GR21" i="28"/>
  <c r="GS21" i="28"/>
  <c r="GT21" i="28"/>
  <c r="GU21" i="28"/>
  <c r="GV21" i="28"/>
  <c r="GW21" i="28"/>
  <c r="GX21" i="28"/>
  <c r="GY21" i="28"/>
  <c r="GZ21" i="28"/>
  <c r="HA21" i="28"/>
  <c r="HB21" i="28"/>
  <c r="HC21" i="28"/>
  <c r="HD21" i="28"/>
  <c r="HE21" i="28"/>
  <c r="HF21" i="28"/>
  <c r="HG21" i="28"/>
  <c r="HH21" i="28"/>
  <c r="HI21" i="28"/>
  <c r="HJ21" i="28"/>
  <c r="HK21" i="28"/>
  <c r="HL21" i="28"/>
  <c r="HM21" i="28"/>
  <c r="HN21" i="28"/>
  <c r="HO21" i="28"/>
  <c r="HP21" i="28"/>
  <c r="HQ21" i="28"/>
  <c r="HR21" i="28"/>
  <c r="HS21" i="28"/>
  <c r="HT21" i="28"/>
  <c r="HU21" i="28"/>
  <c r="HV21" i="28"/>
  <c r="HW21" i="28"/>
  <c r="HX21" i="28"/>
  <c r="HY21" i="28"/>
  <c r="HZ21" i="28"/>
  <c r="IA21" i="28"/>
  <c r="IB21" i="28"/>
  <c r="IC21" i="28"/>
  <c r="ID21" i="28"/>
  <c r="IE21" i="28"/>
  <c r="IF21" i="28"/>
  <c r="IG21" i="28"/>
  <c r="IH21" i="28"/>
  <c r="II21" i="28"/>
  <c r="IJ21" i="28"/>
  <c r="IK21" i="28"/>
  <c r="IL21" i="28"/>
  <c r="IM21" i="28"/>
  <c r="IN21" i="28"/>
  <c r="IO21" i="28"/>
  <c r="IP21" i="28"/>
  <c r="IQ21" i="28"/>
  <c r="IR21" i="28"/>
  <c r="IS21" i="28"/>
  <c r="IT21" i="28"/>
  <c r="IU21" i="28"/>
  <c r="IV21" i="28"/>
  <c r="A20" i="28"/>
  <c r="B20" i="28"/>
  <c r="C20" i="28"/>
  <c r="D20" i="28"/>
  <c r="E20" i="28"/>
  <c r="F20" i="28"/>
  <c r="G20" i="28"/>
  <c r="H20" i="28"/>
  <c r="I20" i="28"/>
  <c r="J20" i="28"/>
  <c r="K20" i="28"/>
  <c r="L20" i="28"/>
  <c r="M20" i="28"/>
  <c r="N20" i="28"/>
  <c r="O20" i="28"/>
  <c r="P20" i="28"/>
  <c r="Q20" i="28"/>
  <c r="R20" i="28"/>
  <c r="S20" i="28"/>
  <c r="T20" i="28"/>
  <c r="U20" i="28"/>
  <c r="V20" i="28"/>
  <c r="W20" i="28"/>
  <c r="X20" i="28"/>
  <c r="Y20" i="28"/>
  <c r="Z20" i="28"/>
  <c r="AA20" i="28"/>
  <c r="AB20" i="28"/>
  <c r="AC20" i="28"/>
  <c r="AD20" i="28"/>
  <c r="AE20" i="28"/>
  <c r="AF20" i="28"/>
  <c r="AG20" i="28"/>
  <c r="AH20" i="28"/>
  <c r="AI20" i="28"/>
  <c r="AJ20" i="28"/>
  <c r="AK20" i="28"/>
  <c r="AL20" i="28"/>
  <c r="AM20" i="28"/>
  <c r="AN20" i="28"/>
  <c r="AO20" i="28"/>
  <c r="AP20" i="28"/>
  <c r="AQ20" i="28"/>
  <c r="AR20" i="28"/>
  <c r="AS20" i="28"/>
  <c r="AT20" i="28"/>
  <c r="AU20" i="28"/>
  <c r="AV20" i="28"/>
  <c r="AW20" i="28"/>
  <c r="AX20" i="28"/>
  <c r="AY20" i="28"/>
  <c r="AZ20" i="28"/>
  <c r="BA20" i="28"/>
  <c r="BB20" i="28"/>
  <c r="BC20" i="28"/>
  <c r="BD20" i="28"/>
  <c r="BE20" i="28"/>
  <c r="BF20" i="28"/>
  <c r="BG20" i="28"/>
  <c r="BH20" i="28"/>
  <c r="BI20" i="28"/>
  <c r="BJ20" i="28"/>
  <c r="BK20" i="28"/>
  <c r="BL20" i="28"/>
  <c r="BM20" i="28"/>
  <c r="BN20" i="28"/>
  <c r="BO20" i="28"/>
  <c r="BP20" i="28"/>
  <c r="BQ20" i="28"/>
  <c r="BR20" i="28"/>
  <c r="BS20" i="28"/>
  <c r="BT20" i="28"/>
  <c r="BU20" i="28"/>
  <c r="BV20" i="28"/>
  <c r="BW20" i="28"/>
  <c r="BX20" i="28"/>
  <c r="BY20" i="28"/>
  <c r="BZ20" i="28"/>
  <c r="CA20" i="28"/>
  <c r="CB20" i="28"/>
  <c r="CC20" i="28"/>
  <c r="CD20" i="28"/>
  <c r="CE20" i="28"/>
  <c r="CF20" i="28"/>
  <c r="CG20" i="28"/>
  <c r="CH20" i="28"/>
  <c r="CI20" i="28"/>
  <c r="CJ20" i="28"/>
  <c r="CK20" i="28"/>
  <c r="CL20" i="28"/>
  <c r="CM20" i="28"/>
  <c r="CN20" i="28"/>
  <c r="CO20" i="28"/>
  <c r="CP20" i="28"/>
  <c r="CQ20" i="28"/>
  <c r="CR20" i="28"/>
  <c r="CS20" i="28"/>
  <c r="CT20" i="28"/>
  <c r="CU20" i="28"/>
  <c r="CV20" i="28"/>
  <c r="CW20" i="28"/>
  <c r="CX20" i="28"/>
  <c r="CY20" i="28"/>
  <c r="CZ20" i="28"/>
  <c r="DA20" i="28"/>
  <c r="DB20" i="28"/>
  <c r="DC20" i="28"/>
  <c r="DD20" i="28"/>
  <c r="DE20" i="28"/>
  <c r="DF20" i="28"/>
  <c r="DG20" i="28"/>
  <c r="DH20" i="28"/>
  <c r="DI20" i="28"/>
  <c r="DJ20" i="28"/>
  <c r="DK20" i="28"/>
  <c r="DL20" i="28"/>
  <c r="DM20" i="28"/>
  <c r="DN20" i="28"/>
  <c r="DO20" i="28"/>
  <c r="DP20" i="28"/>
  <c r="DQ20" i="28"/>
  <c r="DR20" i="28"/>
  <c r="DS20" i="28"/>
  <c r="DT20" i="28"/>
  <c r="DU20" i="28"/>
  <c r="DV20" i="28"/>
  <c r="DW20" i="28"/>
  <c r="DX20" i="28"/>
  <c r="DY20" i="28"/>
  <c r="DZ20" i="28"/>
  <c r="EA20" i="28"/>
  <c r="EB20" i="28"/>
  <c r="EC20" i="28"/>
  <c r="ED20" i="28"/>
  <c r="EE20" i="28"/>
  <c r="EF20" i="28"/>
  <c r="EG20" i="28"/>
  <c r="EH20" i="28"/>
  <c r="EI20" i="28"/>
  <c r="EJ20" i="28"/>
  <c r="EK20" i="28"/>
  <c r="EL20" i="28"/>
  <c r="EM20" i="28"/>
  <c r="EN20" i="28"/>
  <c r="EO20" i="28"/>
  <c r="EP20" i="28"/>
  <c r="EQ20" i="28"/>
  <c r="ER20" i="28"/>
  <c r="ES20" i="28"/>
  <c r="ET20" i="28"/>
  <c r="EU20" i="28"/>
  <c r="EV20" i="28"/>
  <c r="EW20" i="28"/>
  <c r="EX20" i="28"/>
  <c r="EY20" i="28"/>
  <c r="EZ20" i="28"/>
  <c r="FA20" i="28"/>
  <c r="FB20" i="28"/>
  <c r="FC20" i="28"/>
  <c r="FD20" i="28"/>
  <c r="FE20" i="28"/>
  <c r="FF20" i="28"/>
  <c r="FG20" i="28"/>
  <c r="FH20" i="28"/>
  <c r="FI20" i="28"/>
  <c r="FJ20" i="28"/>
  <c r="FK20" i="28"/>
  <c r="FL20" i="28"/>
  <c r="FM20" i="28"/>
  <c r="FN20" i="28"/>
  <c r="FO20" i="28"/>
  <c r="FP20" i="28"/>
  <c r="FQ20" i="28"/>
  <c r="FR20" i="28"/>
  <c r="FS20" i="28"/>
  <c r="FT20" i="28"/>
  <c r="FU20" i="28"/>
  <c r="FV20" i="28"/>
  <c r="FW20" i="28"/>
  <c r="FX20" i="28"/>
  <c r="FY20" i="28"/>
  <c r="FZ20" i="28"/>
  <c r="GA20" i="28"/>
  <c r="GB20" i="28"/>
  <c r="GC20" i="28"/>
  <c r="GD20" i="28"/>
  <c r="GE20" i="28"/>
  <c r="GF20" i="28"/>
  <c r="GG20" i="28"/>
  <c r="GH20" i="28"/>
  <c r="GI20" i="28"/>
  <c r="GJ20" i="28"/>
  <c r="GK20" i="28"/>
  <c r="GL20" i="28"/>
  <c r="GM20" i="28"/>
  <c r="GN20" i="28"/>
  <c r="GO20" i="28"/>
  <c r="GP20" i="28"/>
  <c r="GQ20" i="28"/>
  <c r="GR20" i="28"/>
  <c r="GS20" i="28"/>
  <c r="GT20" i="28"/>
  <c r="GU20" i="28"/>
  <c r="GV20" i="28"/>
  <c r="GW20" i="28"/>
  <c r="GX20" i="28"/>
  <c r="GY20" i="28"/>
  <c r="GZ20" i="28"/>
  <c r="HA20" i="28"/>
  <c r="HB20" i="28"/>
  <c r="HC20" i="28"/>
  <c r="HD20" i="28"/>
  <c r="HE20" i="28"/>
  <c r="HF20" i="28"/>
  <c r="HG20" i="28"/>
  <c r="HH20" i="28"/>
  <c r="HI20" i="28"/>
  <c r="HJ20" i="28"/>
  <c r="HK20" i="28"/>
  <c r="HL20" i="28"/>
  <c r="HM20" i="28"/>
  <c r="HN20" i="28"/>
  <c r="HO20" i="28"/>
  <c r="HP20" i="28"/>
  <c r="HQ20" i="28"/>
  <c r="HR20" i="28"/>
  <c r="HS20" i="28"/>
  <c r="HT20" i="28"/>
  <c r="HU20" i="28"/>
  <c r="HV20" i="28"/>
  <c r="HW20" i="28"/>
  <c r="HX20" i="28"/>
  <c r="HY20" i="28"/>
  <c r="HZ20" i="28"/>
  <c r="IA20" i="28"/>
  <c r="IB20" i="28"/>
  <c r="IC20" i="28"/>
  <c r="ID20" i="28"/>
  <c r="IE20" i="28"/>
  <c r="IF20" i="28"/>
  <c r="IG20" i="28"/>
  <c r="IH20" i="28"/>
  <c r="II20" i="28"/>
  <c r="IJ20" i="28"/>
  <c r="IK20" i="28"/>
  <c r="IL20" i="28"/>
  <c r="IM20" i="28"/>
  <c r="IN20" i="28"/>
  <c r="IO20" i="28"/>
  <c r="IP20" i="28"/>
  <c r="IQ20" i="28"/>
  <c r="IR20" i="28"/>
  <c r="IS20" i="28"/>
  <c r="IT20" i="28"/>
  <c r="IU20" i="28"/>
  <c r="IV20" i="28"/>
  <c r="A19" i="28"/>
  <c r="B19" i="28"/>
  <c r="C19" i="28"/>
  <c r="D19" i="28"/>
  <c r="E19" i="28"/>
  <c r="F19" i="28"/>
  <c r="G19" i="28"/>
  <c r="H19" i="28"/>
  <c r="I19" i="28"/>
  <c r="J19" i="28"/>
  <c r="K19" i="28"/>
  <c r="L19" i="28"/>
  <c r="M19" i="28"/>
  <c r="N19" i="28"/>
  <c r="O19" i="28"/>
  <c r="P19" i="28"/>
  <c r="Q19" i="28"/>
  <c r="R19" i="28"/>
  <c r="S19" i="28"/>
  <c r="T19" i="28"/>
  <c r="U19" i="28"/>
  <c r="V19" i="28"/>
  <c r="W19" i="28"/>
  <c r="X19" i="28"/>
  <c r="Y19" i="28"/>
  <c r="Z19" i="28"/>
  <c r="AA19" i="28"/>
  <c r="AB19" i="28"/>
  <c r="AC19" i="28"/>
  <c r="AD19" i="28"/>
  <c r="AE19" i="28"/>
  <c r="AF19" i="28"/>
  <c r="AG19" i="28"/>
  <c r="AH19" i="28"/>
  <c r="AI19" i="28"/>
  <c r="AJ19" i="28"/>
  <c r="AK19" i="28"/>
  <c r="AL19" i="28"/>
  <c r="AM19" i="28"/>
  <c r="AN19" i="28"/>
  <c r="AO19" i="28"/>
  <c r="AP19" i="28"/>
  <c r="AQ19" i="28"/>
  <c r="AR19" i="28"/>
  <c r="AS19" i="28"/>
  <c r="AT19" i="28"/>
  <c r="AU19" i="28"/>
  <c r="AV19" i="28"/>
  <c r="AW19" i="28"/>
  <c r="AX19" i="28"/>
  <c r="AY19" i="28"/>
  <c r="AZ19" i="28"/>
  <c r="BA19" i="28"/>
  <c r="BB19" i="28"/>
  <c r="BC19" i="28"/>
  <c r="BD19" i="28"/>
  <c r="BE19" i="28"/>
  <c r="BF19" i="28"/>
  <c r="BG19" i="28"/>
  <c r="BH19" i="28"/>
  <c r="BI19" i="28"/>
  <c r="BJ19" i="28"/>
  <c r="BK19" i="28"/>
  <c r="BL19" i="28"/>
  <c r="BM19" i="28"/>
  <c r="BN19" i="28"/>
  <c r="BO19" i="28"/>
  <c r="BP19" i="28"/>
  <c r="BQ19" i="28"/>
  <c r="BR19" i="28"/>
  <c r="BS19" i="28"/>
  <c r="BT19" i="28"/>
  <c r="BU19" i="28"/>
  <c r="BV19" i="28"/>
  <c r="BW19" i="28"/>
  <c r="BX19" i="28"/>
  <c r="BY19" i="28"/>
  <c r="BZ19" i="28"/>
  <c r="CA19" i="28"/>
  <c r="CB19" i="28"/>
  <c r="CC19" i="28"/>
  <c r="CD19" i="28"/>
  <c r="CE19" i="28"/>
  <c r="CF19" i="28"/>
  <c r="CG19" i="28"/>
  <c r="CH19" i="28"/>
  <c r="CI19" i="28"/>
  <c r="CJ19" i="28"/>
  <c r="CK19" i="28"/>
  <c r="CL19" i="28"/>
  <c r="CM19" i="28"/>
  <c r="CN19" i="28"/>
  <c r="CO19" i="28"/>
  <c r="CP19" i="28"/>
  <c r="CQ19" i="28"/>
  <c r="CR19" i="28"/>
  <c r="CS19" i="28"/>
  <c r="CT19" i="28"/>
  <c r="CU19" i="28"/>
  <c r="CV19" i="28"/>
  <c r="CW19" i="28"/>
  <c r="CX19" i="28"/>
  <c r="CY19" i="28"/>
  <c r="CZ19" i="28"/>
  <c r="DA19" i="28"/>
  <c r="DB19" i="28"/>
  <c r="DC19" i="28"/>
  <c r="DD19" i="28"/>
  <c r="DE19" i="28"/>
  <c r="DF19" i="28"/>
  <c r="DG19" i="28"/>
  <c r="DH19" i="28"/>
  <c r="DI19" i="28"/>
  <c r="DJ19" i="28"/>
  <c r="DK19" i="28"/>
  <c r="DL19" i="28"/>
  <c r="DM19" i="28"/>
  <c r="DN19" i="28"/>
  <c r="DO19" i="28"/>
  <c r="DP19" i="28"/>
  <c r="DQ19" i="28"/>
  <c r="DR19" i="28"/>
  <c r="DS19" i="28"/>
  <c r="DT19" i="28"/>
  <c r="DU19" i="28"/>
  <c r="DV19" i="28"/>
  <c r="DW19" i="28"/>
  <c r="DX19" i="28"/>
  <c r="DY19" i="28"/>
  <c r="DZ19" i="28"/>
  <c r="EA19" i="28"/>
  <c r="EB19" i="28"/>
  <c r="EC19" i="28"/>
  <c r="ED19" i="28"/>
  <c r="EE19" i="28"/>
  <c r="EF19" i="28"/>
  <c r="EG19" i="28"/>
  <c r="EH19" i="28"/>
  <c r="EI19" i="28"/>
  <c r="EJ19" i="28"/>
  <c r="EK19" i="28"/>
  <c r="EL19" i="28"/>
  <c r="EM19" i="28"/>
  <c r="EN19" i="28"/>
  <c r="EO19" i="28"/>
  <c r="EP19" i="28"/>
  <c r="EQ19" i="28"/>
  <c r="ER19" i="28"/>
  <c r="ES19" i="28"/>
  <c r="ET19" i="28"/>
  <c r="EU19" i="28"/>
  <c r="EV19" i="28"/>
  <c r="EW19" i="28"/>
  <c r="EX19" i="28"/>
  <c r="EY19" i="28"/>
  <c r="EZ19" i="28"/>
  <c r="FA19" i="28"/>
  <c r="FB19" i="28"/>
  <c r="FC19" i="28"/>
  <c r="FD19" i="28"/>
  <c r="FE19" i="28"/>
  <c r="FF19" i="28"/>
  <c r="FG19" i="28"/>
  <c r="FH19" i="28"/>
  <c r="FI19" i="28"/>
  <c r="FJ19" i="28"/>
  <c r="FK19" i="28"/>
  <c r="FL19" i="28"/>
  <c r="FM19" i="28"/>
  <c r="FN19" i="28"/>
  <c r="FO19" i="28"/>
  <c r="FP19" i="28"/>
  <c r="FQ19" i="28"/>
  <c r="FR19" i="28"/>
  <c r="FS19" i="28"/>
  <c r="FT19" i="28"/>
  <c r="FU19" i="28"/>
  <c r="FV19" i="28"/>
  <c r="FW19" i="28"/>
  <c r="FX19" i="28"/>
  <c r="FY19" i="28"/>
  <c r="FZ19" i="28"/>
  <c r="GA19" i="28"/>
  <c r="GB19" i="28"/>
  <c r="GC19" i="28"/>
  <c r="GD19" i="28"/>
  <c r="GE19" i="28"/>
  <c r="GF19" i="28"/>
  <c r="GG19" i="28"/>
  <c r="GH19" i="28"/>
  <c r="GI19" i="28"/>
  <c r="GJ19" i="28"/>
  <c r="GK19" i="28"/>
  <c r="GL19" i="28"/>
  <c r="GM19" i="28"/>
  <c r="GN19" i="28"/>
  <c r="GO19" i="28"/>
  <c r="GP19" i="28"/>
  <c r="GQ19" i="28"/>
  <c r="GR19" i="28"/>
  <c r="GS19" i="28"/>
  <c r="GT19" i="28"/>
  <c r="GU19" i="28"/>
  <c r="GV19" i="28"/>
  <c r="GW19" i="28"/>
  <c r="GX19" i="28"/>
  <c r="GY19" i="28"/>
  <c r="GZ19" i="28"/>
  <c r="HA19" i="28"/>
  <c r="HB19" i="28"/>
  <c r="HC19" i="28"/>
  <c r="HD19" i="28"/>
  <c r="HE19" i="28"/>
  <c r="HF19" i="28"/>
  <c r="HG19" i="28"/>
  <c r="HH19" i="28"/>
  <c r="HI19" i="28"/>
  <c r="HJ19" i="28"/>
  <c r="HK19" i="28"/>
  <c r="HL19" i="28"/>
  <c r="HM19" i="28"/>
  <c r="HN19" i="28"/>
  <c r="HO19" i="28"/>
  <c r="HP19" i="28"/>
  <c r="HQ19" i="28"/>
  <c r="HR19" i="28"/>
  <c r="HS19" i="28"/>
  <c r="HT19" i="28"/>
  <c r="HU19" i="28"/>
  <c r="HV19" i="28"/>
  <c r="HW19" i="28"/>
  <c r="HX19" i="28"/>
  <c r="HY19" i="28"/>
  <c r="HZ19" i="28"/>
  <c r="IA19" i="28"/>
  <c r="IB19" i="28"/>
  <c r="IC19" i="28"/>
  <c r="ID19" i="28"/>
  <c r="IE19" i="28"/>
  <c r="IF19" i="28"/>
  <c r="IG19" i="28"/>
  <c r="IH19" i="28"/>
  <c r="II19" i="28"/>
  <c r="IJ19" i="28"/>
  <c r="IK19" i="28"/>
  <c r="IL19" i="28"/>
  <c r="IM19" i="28"/>
  <c r="IN19" i="28"/>
  <c r="IO19" i="28"/>
  <c r="IP19" i="28"/>
  <c r="IQ19" i="28"/>
  <c r="IR19" i="28"/>
  <c r="IS19" i="28"/>
  <c r="IT19" i="28"/>
  <c r="IU19" i="28"/>
  <c r="IV19" i="28"/>
  <c r="A18" i="28"/>
  <c r="B18" i="28"/>
  <c r="C18" i="28"/>
  <c r="D18" i="28"/>
  <c r="E18" i="28"/>
  <c r="F18" i="28"/>
  <c r="G18" i="28"/>
  <c r="H18" i="28"/>
  <c r="I18" i="28"/>
  <c r="J18" i="28"/>
  <c r="K18" i="28"/>
  <c r="L18" i="28"/>
  <c r="M18" i="28"/>
  <c r="N18" i="28"/>
  <c r="O18" i="28"/>
  <c r="P18" i="28"/>
  <c r="Q18" i="28"/>
  <c r="R18" i="28"/>
  <c r="S18" i="28"/>
  <c r="T18" i="28"/>
  <c r="U18" i="28"/>
  <c r="V18" i="28"/>
  <c r="W18" i="28"/>
  <c r="X18" i="28"/>
  <c r="Y18" i="28"/>
  <c r="Z18" i="28"/>
  <c r="AA18" i="28"/>
  <c r="AB18" i="28"/>
  <c r="AC18" i="28"/>
  <c r="AD18" i="28"/>
  <c r="AE18" i="28"/>
  <c r="AF18" i="28"/>
  <c r="AG18" i="28"/>
  <c r="AH18" i="28"/>
  <c r="AI18" i="28"/>
  <c r="AJ18" i="28"/>
  <c r="AK18" i="28"/>
  <c r="AL18" i="28"/>
  <c r="AM18" i="28"/>
  <c r="AN18" i="28"/>
  <c r="AO18" i="28"/>
  <c r="AP18" i="28"/>
  <c r="AQ18" i="28"/>
  <c r="AR18" i="28"/>
  <c r="AS18" i="28"/>
  <c r="AT18" i="28"/>
  <c r="AU18" i="28"/>
  <c r="AV18" i="28"/>
  <c r="AW18" i="28"/>
  <c r="AX18" i="28"/>
  <c r="AY18" i="28"/>
  <c r="AZ18" i="28"/>
  <c r="BA18" i="28"/>
  <c r="BB18" i="28"/>
  <c r="BC18" i="28"/>
  <c r="BD18" i="28"/>
  <c r="BE18" i="28"/>
  <c r="BF18" i="28"/>
  <c r="BG18" i="28"/>
  <c r="BH18" i="28"/>
  <c r="BI18" i="28"/>
  <c r="BJ18" i="28"/>
  <c r="BK18" i="28"/>
  <c r="BL18" i="28"/>
  <c r="BM18" i="28"/>
  <c r="BN18" i="28"/>
  <c r="BO18" i="28"/>
  <c r="BP18" i="28"/>
  <c r="BQ18" i="28"/>
  <c r="BR18" i="28"/>
  <c r="BS18" i="28"/>
  <c r="BT18" i="28"/>
  <c r="BU18" i="28"/>
  <c r="BV18" i="28"/>
  <c r="BW18" i="28"/>
  <c r="BX18" i="28"/>
  <c r="BY18" i="28"/>
  <c r="BZ18" i="28"/>
  <c r="CA18" i="28"/>
  <c r="CB18" i="28"/>
  <c r="CC18" i="28"/>
  <c r="CD18" i="28"/>
  <c r="CE18" i="28"/>
  <c r="CF18" i="28"/>
  <c r="CG18" i="28"/>
  <c r="CH18" i="28"/>
  <c r="CI18" i="28"/>
  <c r="CJ18" i="28"/>
  <c r="CK18" i="28"/>
  <c r="CL18" i="28"/>
  <c r="CM18" i="28"/>
  <c r="CN18" i="28"/>
  <c r="CO18" i="28"/>
  <c r="CP18" i="28"/>
  <c r="CQ18" i="28"/>
  <c r="CR18" i="28"/>
  <c r="CS18" i="28"/>
  <c r="CT18" i="28"/>
  <c r="CU18" i="28"/>
  <c r="CV18" i="28"/>
  <c r="CW18" i="28"/>
  <c r="CX18" i="28"/>
  <c r="CY18" i="28"/>
  <c r="CZ18" i="28"/>
  <c r="DA18" i="28"/>
  <c r="DB18" i="28"/>
  <c r="DC18" i="28"/>
  <c r="DD18" i="28"/>
  <c r="DE18" i="28"/>
  <c r="DF18" i="28"/>
  <c r="DG18" i="28"/>
  <c r="DH18" i="28"/>
  <c r="DI18" i="28"/>
  <c r="DJ18" i="28"/>
  <c r="DK18" i="28"/>
  <c r="DL18" i="28"/>
  <c r="DM18" i="28"/>
  <c r="DN18" i="28"/>
  <c r="DO18" i="28"/>
  <c r="DP18" i="28"/>
  <c r="DQ18" i="28"/>
  <c r="DR18" i="28"/>
  <c r="DS18" i="28"/>
  <c r="DT18" i="28"/>
  <c r="DU18" i="28"/>
  <c r="DV18" i="28"/>
  <c r="DW18" i="28"/>
  <c r="DX18" i="28"/>
  <c r="DY18" i="28"/>
  <c r="DZ18" i="28"/>
  <c r="EA18" i="28"/>
  <c r="EB18" i="28"/>
  <c r="EC18" i="28"/>
  <c r="ED18" i="28"/>
  <c r="EE18" i="28"/>
  <c r="EF18" i="28"/>
  <c r="EG18" i="28"/>
  <c r="EH18" i="28"/>
  <c r="EI18" i="28"/>
  <c r="EJ18" i="28"/>
  <c r="EK18" i="28"/>
  <c r="EL18" i="28"/>
  <c r="EM18" i="28"/>
  <c r="EN18" i="28"/>
  <c r="EO18" i="28"/>
  <c r="EP18" i="28"/>
  <c r="EQ18" i="28"/>
  <c r="ER18" i="28"/>
  <c r="ES18" i="28"/>
  <c r="ET18" i="28"/>
  <c r="EU18" i="28"/>
  <c r="EV18" i="28"/>
  <c r="EW18" i="28"/>
  <c r="EX18" i="28"/>
  <c r="EY18" i="28"/>
  <c r="EZ18" i="28"/>
  <c r="FA18" i="28"/>
  <c r="FB18" i="28"/>
  <c r="FC18" i="28"/>
  <c r="FD18" i="28"/>
  <c r="FE18" i="28"/>
  <c r="FF18" i="28"/>
  <c r="FG18" i="28"/>
  <c r="FH18" i="28"/>
  <c r="FI18" i="28"/>
  <c r="FJ18" i="28"/>
  <c r="FK18" i="28"/>
  <c r="FL18" i="28"/>
  <c r="FM18" i="28"/>
  <c r="FN18" i="28"/>
  <c r="FO18" i="28"/>
  <c r="FP18" i="28"/>
  <c r="FQ18" i="28"/>
  <c r="FR18" i="28"/>
  <c r="FS18" i="28"/>
  <c r="FT18" i="28"/>
  <c r="FU18" i="28"/>
  <c r="FV18" i="28"/>
  <c r="FW18" i="28"/>
  <c r="FX18" i="28"/>
  <c r="FY18" i="28"/>
  <c r="FZ18" i="28"/>
  <c r="GA18" i="28"/>
  <c r="GB18" i="28"/>
  <c r="GC18" i="28"/>
  <c r="GD18" i="28"/>
  <c r="GE18" i="28"/>
  <c r="GF18" i="28"/>
  <c r="GG18" i="28"/>
  <c r="GH18" i="28"/>
  <c r="GI18" i="28"/>
  <c r="GJ18" i="28"/>
  <c r="GK18" i="28"/>
  <c r="GL18" i="28"/>
  <c r="GM18" i="28"/>
  <c r="GN18" i="28"/>
  <c r="GO18" i="28"/>
  <c r="GP18" i="28"/>
  <c r="GQ18" i="28"/>
  <c r="GR18" i="28"/>
  <c r="GS18" i="28"/>
  <c r="GT18" i="28"/>
  <c r="GU18" i="28"/>
  <c r="GV18" i="28"/>
  <c r="GW18" i="28"/>
  <c r="GX18" i="28"/>
  <c r="GY18" i="28"/>
  <c r="GZ18" i="28"/>
  <c r="HA18" i="28"/>
  <c r="HB18" i="28"/>
  <c r="HC18" i="28"/>
  <c r="HD18" i="28"/>
  <c r="HE18" i="28"/>
  <c r="HF18" i="28"/>
  <c r="HG18" i="28"/>
  <c r="HH18" i="28"/>
  <c r="HI18" i="28"/>
  <c r="HJ18" i="28"/>
  <c r="HK18" i="28"/>
  <c r="HL18" i="28"/>
  <c r="HM18" i="28"/>
  <c r="HN18" i="28"/>
  <c r="HO18" i="28"/>
  <c r="HP18" i="28"/>
  <c r="HQ18" i="28"/>
  <c r="HR18" i="28"/>
  <c r="HS18" i="28"/>
  <c r="HT18" i="28"/>
  <c r="HU18" i="28"/>
  <c r="HV18" i="28"/>
  <c r="HW18" i="28"/>
  <c r="HX18" i="28"/>
  <c r="HY18" i="28"/>
  <c r="HZ18" i="28"/>
  <c r="IA18" i="28"/>
  <c r="IB18" i="28"/>
  <c r="IC18" i="28"/>
  <c r="ID18" i="28"/>
  <c r="IE18" i="28"/>
  <c r="IF18" i="28"/>
  <c r="IG18" i="28"/>
  <c r="IH18" i="28"/>
  <c r="II18" i="28"/>
  <c r="IJ18" i="28"/>
  <c r="IK18" i="28"/>
  <c r="IL18" i="28"/>
  <c r="IM18" i="28"/>
  <c r="IN18" i="28"/>
  <c r="IO18" i="28"/>
  <c r="IP18" i="28"/>
  <c r="IQ18" i="28"/>
  <c r="IR18" i="28"/>
  <c r="IS18" i="28"/>
  <c r="IT18" i="28"/>
  <c r="IU18" i="28"/>
  <c r="IV18" i="28"/>
  <c r="A17" i="28"/>
  <c r="B17" i="28"/>
  <c r="C17" i="28"/>
  <c r="D17" i="28"/>
  <c r="E17" i="28"/>
  <c r="F17" i="28"/>
  <c r="G17" i="28"/>
  <c r="H17" i="28"/>
  <c r="I17" i="28"/>
  <c r="J17" i="28"/>
  <c r="K17" i="28"/>
  <c r="L17" i="28"/>
  <c r="M17" i="28"/>
  <c r="N17" i="28"/>
  <c r="O17" i="28"/>
  <c r="P17" i="28"/>
  <c r="Q17" i="28"/>
  <c r="R17" i="28"/>
  <c r="S17" i="28"/>
  <c r="T17" i="28"/>
  <c r="U17" i="28"/>
  <c r="V17" i="28"/>
  <c r="W17" i="28"/>
  <c r="X17" i="28"/>
  <c r="Y17" i="28"/>
  <c r="Z17" i="28"/>
  <c r="AA17" i="28"/>
  <c r="AB17" i="28"/>
  <c r="AC17" i="28"/>
  <c r="AD17" i="28"/>
  <c r="AE17" i="28"/>
  <c r="AF17" i="28"/>
  <c r="AG17" i="28"/>
  <c r="AH17" i="28"/>
  <c r="AI17" i="28"/>
  <c r="AJ17" i="28"/>
  <c r="AK17" i="28"/>
  <c r="AL17" i="28"/>
  <c r="AM17" i="28"/>
  <c r="AN17" i="28"/>
  <c r="AO17" i="28"/>
  <c r="AP17" i="28"/>
  <c r="AQ17" i="28"/>
  <c r="AR17" i="28"/>
  <c r="AS17" i="28"/>
  <c r="AT17" i="28"/>
  <c r="AU17" i="28"/>
  <c r="AV17" i="28"/>
  <c r="AW17" i="28"/>
  <c r="AX17" i="28"/>
  <c r="AY17" i="28"/>
  <c r="AZ17" i="28"/>
  <c r="BA17" i="28"/>
  <c r="BB17" i="28"/>
  <c r="BC17" i="28"/>
  <c r="BD17" i="28"/>
  <c r="BE17" i="28"/>
  <c r="BF17" i="28"/>
  <c r="BG17" i="28"/>
  <c r="BH17" i="28"/>
  <c r="BI17" i="28"/>
  <c r="BJ17" i="28"/>
  <c r="BK17" i="28"/>
  <c r="BL17" i="28"/>
  <c r="BM17" i="28"/>
  <c r="BN17" i="28"/>
  <c r="BO17" i="28"/>
  <c r="BP17" i="28"/>
  <c r="BQ17" i="28"/>
  <c r="BR17" i="28"/>
  <c r="BS17" i="28"/>
  <c r="BT17" i="28"/>
  <c r="BU17" i="28"/>
  <c r="BV17" i="28"/>
  <c r="BW17" i="28"/>
  <c r="BX17" i="28"/>
  <c r="BY17" i="28"/>
  <c r="BZ17" i="28"/>
  <c r="CA17" i="28"/>
  <c r="CB17" i="28"/>
  <c r="CC17" i="28"/>
  <c r="CD17" i="28"/>
  <c r="CE17" i="28"/>
  <c r="CF17" i="28"/>
  <c r="CG17" i="28"/>
  <c r="CH17" i="28"/>
  <c r="CI17" i="28"/>
  <c r="CJ17" i="28"/>
  <c r="CK17" i="28"/>
  <c r="CL17" i="28"/>
  <c r="CM17" i="28"/>
  <c r="CN17" i="28"/>
  <c r="CO17" i="28"/>
  <c r="CP17" i="28"/>
  <c r="CQ17" i="28"/>
  <c r="CR17" i="28"/>
  <c r="CS17" i="28"/>
  <c r="CT17" i="28"/>
  <c r="CU17" i="28"/>
  <c r="CV17" i="28"/>
  <c r="CW17" i="28"/>
  <c r="CX17" i="28"/>
  <c r="CY17" i="28"/>
  <c r="CZ17" i="28"/>
  <c r="DA17" i="28"/>
  <c r="DB17" i="28"/>
  <c r="DC17" i="28"/>
  <c r="DD17" i="28"/>
  <c r="DE17" i="28"/>
  <c r="DF17" i="28"/>
  <c r="DG17" i="28"/>
  <c r="DH17" i="28"/>
  <c r="DI17" i="28"/>
  <c r="DJ17" i="28"/>
  <c r="DK17" i="28"/>
  <c r="DL17" i="28"/>
  <c r="DM17" i="28"/>
  <c r="DN17" i="28"/>
  <c r="DO17" i="28"/>
  <c r="DP17" i="28"/>
  <c r="DQ17" i="28"/>
  <c r="DR17" i="28"/>
  <c r="DS17" i="28"/>
  <c r="DT17" i="28"/>
  <c r="DU17" i="28"/>
  <c r="DV17" i="28"/>
  <c r="DW17" i="28"/>
  <c r="DX17" i="28"/>
  <c r="DY17" i="28"/>
  <c r="DZ17" i="28"/>
  <c r="EA17" i="28"/>
  <c r="EB17" i="28"/>
  <c r="EC17" i="28"/>
  <c r="ED17" i="28"/>
  <c r="EE17" i="28"/>
  <c r="EF17" i="28"/>
  <c r="EG17" i="28"/>
  <c r="EH17" i="28"/>
  <c r="EI17" i="28"/>
  <c r="EJ17" i="28"/>
  <c r="EK17" i="28"/>
  <c r="EL17" i="28"/>
  <c r="EM17" i="28"/>
  <c r="EN17" i="28"/>
  <c r="EO17" i="28"/>
  <c r="EP17" i="28"/>
  <c r="EQ17" i="28"/>
  <c r="ER17" i="28"/>
  <c r="ES17" i="28"/>
  <c r="ET17" i="28"/>
  <c r="EU17" i="28"/>
  <c r="EV17" i="28"/>
  <c r="EW17" i="28"/>
  <c r="EX17" i="28"/>
  <c r="EY17" i="28"/>
  <c r="EZ17" i="28"/>
  <c r="FA17" i="28"/>
  <c r="FB17" i="28"/>
  <c r="FC17" i="28"/>
  <c r="FD17" i="28"/>
  <c r="FE17" i="28"/>
  <c r="FF17" i="28"/>
  <c r="FG17" i="28"/>
  <c r="FH17" i="28"/>
  <c r="FI17" i="28"/>
  <c r="FJ17" i="28"/>
  <c r="FK17" i="28"/>
  <c r="FL17" i="28"/>
  <c r="FM17" i="28"/>
  <c r="FN17" i="28"/>
  <c r="FO17" i="28"/>
  <c r="FP17" i="28"/>
  <c r="FQ17" i="28"/>
  <c r="FR17" i="28"/>
  <c r="FS17" i="28"/>
  <c r="FT17" i="28"/>
  <c r="FU17" i="28"/>
  <c r="FV17" i="28"/>
  <c r="FW17" i="28"/>
  <c r="FX17" i="28"/>
  <c r="FY17" i="28"/>
  <c r="FZ17" i="28"/>
  <c r="GA17" i="28"/>
  <c r="GB17" i="28"/>
  <c r="GC17" i="28"/>
  <c r="GD17" i="28"/>
  <c r="GE17" i="28"/>
  <c r="GF17" i="28"/>
  <c r="GG17" i="28"/>
  <c r="GH17" i="28"/>
  <c r="GI17" i="28"/>
  <c r="GJ17" i="28"/>
  <c r="GK17" i="28"/>
  <c r="GL17" i="28"/>
  <c r="GM17" i="28"/>
  <c r="GN17" i="28"/>
  <c r="GO17" i="28"/>
  <c r="GP17" i="28"/>
  <c r="GQ17" i="28"/>
  <c r="GR17" i="28"/>
  <c r="GS17" i="28"/>
  <c r="GT17" i="28"/>
  <c r="GU17" i="28"/>
  <c r="GV17" i="28"/>
  <c r="GW17" i="28"/>
  <c r="GX17" i="28"/>
  <c r="GY17" i="28"/>
  <c r="GZ17" i="28"/>
  <c r="HA17" i="28"/>
  <c r="HB17" i="28"/>
  <c r="HC17" i="28"/>
  <c r="HD17" i="28"/>
  <c r="HE17" i="28"/>
  <c r="HF17" i="28"/>
  <c r="HG17" i="28"/>
  <c r="HH17" i="28"/>
  <c r="HI17" i="28"/>
  <c r="HJ17" i="28"/>
  <c r="HK17" i="28"/>
  <c r="HL17" i="28"/>
  <c r="HM17" i="28"/>
  <c r="HN17" i="28"/>
  <c r="HO17" i="28"/>
  <c r="HP17" i="28"/>
  <c r="HQ17" i="28"/>
  <c r="HR17" i="28"/>
  <c r="HS17" i="28"/>
  <c r="HT17" i="28"/>
  <c r="HU17" i="28"/>
  <c r="HV17" i="28"/>
  <c r="HW17" i="28"/>
  <c r="HX17" i="28"/>
  <c r="HY17" i="28"/>
  <c r="HZ17" i="28"/>
  <c r="IA17" i="28"/>
  <c r="IB17" i="28"/>
  <c r="IC17" i="28"/>
  <c r="ID17" i="28"/>
  <c r="IE17" i="28"/>
  <c r="IF17" i="28"/>
  <c r="IG17" i="28"/>
  <c r="IH17" i="28"/>
  <c r="II17" i="28"/>
  <c r="IJ17" i="28"/>
  <c r="IK17" i="28"/>
  <c r="IL17" i="28"/>
  <c r="IM17" i="28"/>
  <c r="IN17" i="28"/>
  <c r="IO17" i="28"/>
  <c r="IP17" i="28"/>
  <c r="IQ17" i="28"/>
  <c r="IR17" i="28"/>
  <c r="IS17" i="28"/>
  <c r="IT17" i="28"/>
  <c r="IU17" i="28"/>
  <c r="IV17" i="28"/>
  <c r="A16" i="28"/>
  <c r="B16" i="28"/>
  <c r="C16" i="28"/>
  <c r="D16" i="28"/>
  <c r="E16" i="28"/>
  <c r="F16" i="28"/>
  <c r="G16" i="28"/>
  <c r="H16" i="28"/>
  <c r="I16" i="28"/>
  <c r="J16" i="28"/>
  <c r="K16" i="28"/>
  <c r="L16" i="28"/>
  <c r="M16" i="28"/>
  <c r="N16" i="28"/>
  <c r="O16" i="28"/>
  <c r="P16" i="28"/>
  <c r="Q16" i="28"/>
  <c r="R16" i="28"/>
  <c r="S16" i="28"/>
  <c r="T16" i="28"/>
  <c r="U16" i="28"/>
  <c r="V16" i="28"/>
  <c r="W16" i="28"/>
  <c r="X16" i="28"/>
  <c r="Y16" i="28"/>
  <c r="Z16" i="28"/>
  <c r="AA16" i="28"/>
  <c r="AB16" i="28"/>
  <c r="AC16" i="28"/>
  <c r="AD16" i="28"/>
  <c r="AE16" i="28"/>
  <c r="AF16" i="28"/>
  <c r="AG16" i="28"/>
  <c r="AH16" i="28"/>
  <c r="AI16" i="28"/>
  <c r="AJ16" i="28"/>
  <c r="AK16" i="28"/>
  <c r="AL16" i="28"/>
  <c r="AM16" i="28"/>
  <c r="AN16" i="28"/>
  <c r="AO16" i="28"/>
  <c r="AP16" i="28"/>
  <c r="AQ16" i="28"/>
  <c r="AR16" i="28"/>
  <c r="AS16" i="28"/>
  <c r="AT16" i="28"/>
  <c r="AU16" i="28"/>
  <c r="AV16" i="28"/>
  <c r="AW16" i="28"/>
  <c r="AX16" i="28"/>
  <c r="AY16" i="28"/>
  <c r="AZ16" i="28"/>
  <c r="BA16" i="28"/>
  <c r="BB16" i="28"/>
  <c r="BC16" i="28"/>
  <c r="BD16" i="28"/>
  <c r="BE16" i="28"/>
  <c r="BF16" i="28"/>
  <c r="BG16" i="28"/>
  <c r="BH16" i="28"/>
  <c r="BI16" i="28"/>
  <c r="BJ16" i="28"/>
  <c r="BK16" i="28"/>
  <c r="BL16" i="28"/>
  <c r="BM16" i="28"/>
  <c r="BN16" i="28"/>
  <c r="BO16" i="28"/>
  <c r="BP16" i="28"/>
  <c r="BQ16" i="28"/>
  <c r="BR16" i="28"/>
  <c r="BS16" i="28"/>
  <c r="BT16" i="28"/>
  <c r="BU16" i="28"/>
  <c r="BV16" i="28"/>
  <c r="BW16" i="28"/>
  <c r="BX16" i="28"/>
  <c r="BY16" i="28"/>
  <c r="BZ16" i="28"/>
  <c r="CA16" i="28"/>
  <c r="CB16" i="28"/>
  <c r="CC16" i="28"/>
  <c r="CD16" i="28"/>
  <c r="CE16" i="28"/>
  <c r="CF16" i="28"/>
  <c r="CG16" i="28"/>
  <c r="CH16" i="28"/>
  <c r="CI16" i="28"/>
  <c r="CJ16" i="28"/>
  <c r="CK16" i="28"/>
  <c r="CL16" i="28"/>
  <c r="CM16" i="28"/>
  <c r="CN16" i="28"/>
  <c r="CO16" i="28"/>
  <c r="CP16" i="28"/>
  <c r="CQ16" i="28"/>
  <c r="CR16" i="28"/>
  <c r="CS16" i="28"/>
  <c r="CT16" i="28"/>
  <c r="CU16" i="28"/>
  <c r="CV16" i="28"/>
  <c r="CW16" i="28"/>
  <c r="CX16" i="28"/>
  <c r="CY16" i="28"/>
  <c r="CZ16" i="28"/>
  <c r="DA16" i="28"/>
  <c r="DB16" i="28"/>
  <c r="DC16" i="28"/>
  <c r="DD16" i="28"/>
  <c r="DE16" i="28"/>
  <c r="DF16" i="28"/>
  <c r="DG16" i="28"/>
  <c r="DH16" i="28"/>
  <c r="DI16" i="28"/>
  <c r="DJ16" i="28"/>
  <c r="DK16" i="28"/>
  <c r="DL16" i="28"/>
  <c r="DM16" i="28"/>
  <c r="DN16" i="28"/>
  <c r="DO16" i="28"/>
  <c r="DP16" i="28"/>
  <c r="DQ16" i="28"/>
  <c r="DR16" i="28"/>
  <c r="DS16" i="28"/>
  <c r="DT16" i="28"/>
  <c r="DU16" i="28"/>
  <c r="DV16" i="28"/>
  <c r="DW16" i="28"/>
  <c r="DX16" i="28"/>
  <c r="DY16" i="28"/>
  <c r="DZ16" i="28"/>
  <c r="EA16" i="28"/>
  <c r="EB16" i="28"/>
  <c r="EC16" i="28"/>
  <c r="ED16" i="28"/>
  <c r="EE16" i="28"/>
  <c r="EF16" i="28"/>
  <c r="EG16" i="28"/>
  <c r="EH16" i="28"/>
  <c r="EI16" i="28"/>
  <c r="EJ16" i="28"/>
  <c r="EK16" i="28"/>
  <c r="EL16" i="28"/>
  <c r="EM16" i="28"/>
  <c r="EN16" i="28"/>
  <c r="EO16" i="28"/>
  <c r="EP16" i="28"/>
  <c r="EQ16" i="28"/>
  <c r="ER16" i="28"/>
  <c r="ES16" i="28"/>
  <c r="ET16" i="28"/>
  <c r="EU16" i="28"/>
  <c r="EV16" i="28"/>
  <c r="EW16" i="28"/>
  <c r="EX16" i="28"/>
  <c r="EY16" i="28"/>
  <c r="EZ16" i="28"/>
  <c r="FA16" i="28"/>
  <c r="FB16" i="28"/>
  <c r="FC16" i="28"/>
  <c r="FD16" i="28"/>
  <c r="FE16" i="28"/>
  <c r="FF16" i="28"/>
  <c r="FG16" i="28"/>
  <c r="FH16" i="28"/>
  <c r="FI16" i="28"/>
  <c r="FJ16" i="28"/>
  <c r="FK16" i="28"/>
  <c r="FL16" i="28"/>
  <c r="FM16" i="28"/>
  <c r="FN16" i="28"/>
  <c r="FO16" i="28"/>
  <c r="FP16" i="28"/>
  <c r="FQ16" i="28"/>
  <c r="FR16" i="28"/>
  <c r="FS16" i="28"/>
  <c r="FT16" i="28"/>
  <c r="FU16" i="28"/>
  <c r="FV16" i="28"/>
  <c r="FW16" i="28"/>
  <c r="FX16" i="28"/>
  <c r="FY16" i="28"/>
  <c r="FZ16" i="28"/>
  <c r="GA16" i="28"/>
  <c r="GB16" i="28"/>
  <c r="GC16" i="28"/>
  <c r="GD16" i="28"/>
  <c r="GE16" i="28"/>
  <c r="GF16" i="28"/>
  <c r="GG16" i="28"/>
  <c r="GH16" i="28"/>
  <c r="GI16" i="28"/>
  <c r="GJ16" i="28"/>
  <c r="GK16" i="28"/>
  <c r="GL16" i="28"/>
  <c r="GM16" i="28"/>
  <c r="GN16" i="28"/>
  <c r="GO16" i="28"/>
  <c r="GP16" i="28"/>
  <c r="GQ16" i="28"/>
  <c r="GR16" i="28"/>
  <c r="GS16" i="28"/>
  <c r="GT16" i="28"/>
  <c r="GU16" i="28"/>
  <c r="GV16" i="28"/>
  <c r="GW16" i="28"/>
  <c r="GX16" i="28"/>
  <c r="GY16" i="28"/>
  <c r="GZ16" i="28"/>
  <c r="HA16" i="28"/>
  <c r="HB16" i="28"/>
  <c r="HC16" i="28"/>
  <c r="HD16" i="28"/>
  <c r="HE16" i="28"/>
  <c r="HF16" i="28"/>
  <c r="HG16" i="28"/>
  <c r="HH16" i="28"/>
  <c r="HI16" i="28"/>
  <c r="HJ16" i="28"/>
  <c r="HK16" i="28"/>
  <c r="HL16" i="28"/>
  <c r="HM16" i="28"/>
  <c r="HN16" i="28"/>
  <c r="HO16" i="28"/>
  <c r="HP16" i="28"/>
  <c r="HQ16" i="28"/>
  <c r="HR16" i="28"/>
  <c r="HS16" i="28"/>
  <c r="HT16" i="28"/>
  <c r="HU16" i="28"/>
  <c r="HV16" i="28"/>
  <c r="HW16" i="28"/>
  <c r="HX16" i="28"/>
  <c r="HY16" i="28"/>
  <c r="HZ16" i="28"/>
  <c r="IA16" i="28"/>
  <c r="IB16" i="28"/>
  <c r="IC16" i="28"/>
  <c r="ID16" i="28"/>
  <c r="IE16" i="28"/>
  <c r="IF16" i="28"/>
  <c r="IG16" i="28"/>
  <c r="IH16" i="28"/>
  <c r="II16" i="28"/>
  <c r="IJ16" i="28"/>
  <c r="IK16" i="28"/>
  <c r="IL16" i="28"/>
  <c r="IM16" i="28"/>
  <c r="IN16" i="28"/>
  <c r="IO16" i="28"/>
  <c r="IP16" i="28"/>
  <c r="IQ16" i="28"/>
  <c r="IR16" i="28"/>
  <c r="IS16" i="28"/>
  <c r="IT16" i="28"/>
  <c r="IU16" i="28"/>
  <c r="IV16" i="28"/>
  <c r="A15" i="28"/>
  <c r="B15" i="28"/>
  <c r="C15" i="28"/>
  <c r="D15" i="28"/>
  <c r="E15" i="28"/>
  <c r="F15" i="28"/>
  <c r="G15" i="28"/>
  <c r="H15" i="28"/>
  <c r="I15" i="28"/>
  <c r="J15" i="28"/>
  <c r="K15" i="28"/>
  <c r="L15" i="28"/>
  <c r="M15" i="28"/>
  <c r="N15" i="28"/>
  <c r="O15" i="28"/>
  <c r="P15" i="28"/>
  <c r="Q15" i="28"/>
  <c r="R15" i="28"/>
  <c r="S15" i="28"/>
  <c r="T15" i="28"/>
  <c r="U15" i="28"/>
  <c r="V15" i="28"/>
  <c r="W15" i="28"/>
  <c r="X15" i="28"/>
  <c r="Y15" i="28"/>
  <c r="Z15" i="28"/>
  <c r="AA15" i="28"/>
  <c r="AB15" i="28"/>
  <c r="AC15" i="28"/>
  <c r="AD15" i="28"/>
  <c r="AE15" i="28"/>
  <c r="AF15" i="28"/>
  <c r="AG15" i="28"/>
  <c r="AH15" i="28"/>
  <c r="AI15" i="28"/>
  <c r="AJ15" i="28"/>
  <c r="AK15" i="28"/>
  <c r="AL15" i="28"/>
  <c r="AM15" i="28"/>
  <c r="AN15" i="28"/>
  <c r="AO15" i="28"/>
  <c r="AP15" i="28"/>
  <c r="AQ15" i="28"/>
  <c r="AR15" i="28"/>
  <c r="AS15" i="28"/>
  <c r="AT15" i="28"/>
  <c r="AU15" i="28"/>
  <c r="AV15" i="28"/>
  <c r="AW15" i="28"/>
  <c r="AX15" i="28"/>
  <c r="AY15" i="28"/>
  <c r="AZ15" i="28"/>
  <c r="BA15" i="28"/>
  <c r="BB15" i="28"/>
  <c r="BC15" i="28"/>
  <c r="BD15" i="28"/>
  <c r="BE15" i="28"/>
  <c r="BF15" i="28"/>
  <c r="BG15" i="28"/>
  <c r="BH15" i="28"/>
  <c r="BI15" i="28"/>
  <c r="BJ15" i="28"/>
  <c r="BK15" i="28"/>
  <c r="BL15" i="28"/>
  <c r="BM15" i="28"/>
  <c r="BN15" i="28"/>
  <c r="BO15" i="28"/>
  <c r="BP15" i="28"/>
  <c r="BQ15" i="28"/>
  <c r="BR15" i="28"/>
  <c r="BS15" i="28"/>
  <c r="BT15" i="28"/>
  <c r="BU15" i="28"/>
  <c r="BV15" i="28"/>
  <c r="BW15" i="28"/>
  <c r="BX15" i="28"/>
  <c r="BY15" i="28"/>
  <c r="BZ15" i="28"/>
  <c r="CA15" i="28"/>
  <c r="CB15" i="28"/>
  <c r="CC15" i="28"/>
  <c r="CD15" i="28"/>
  <c r="CE15" i="28"/>
  <c r="CF15" i="28"/>
  <c r="CG15" i="28"/>
  <c r="CH15" i="28"/>
  <c r="CI15" i="28"/>
  <c r="CJ15" i="28"/>
  <c r="CK15" i="28"/>
  <c r="CL15" i="28"/>
  <c r="CM15" i="28"/>
  <c r="CN15" i="28"/>
  <c r="CO15" i="28"/>
  <c r="CP15" i="28"/>
  <c r="CQ15" i="28"/>
  <c r="CR15" i="28"/>
  <c r="CS15" i="28"/>
  <c r="CT15" i="28"/>
  <c r="CU15" i="28"/>
  <c r="CV15" i="28"/>
  <c r="CW15" i="28"/>
  <c r="CX15" i="28"/>
  <c r="CY15" i="28"/>
  <c r="CZ15" i="28"/>
  <c r="DA15" i="28"/>
  <c r="DB15" i="28"/>
  <c r="DC15" i="28"/>
  <c r="DD15" i="28"/>
  <c r="DE15" i="28"/>
  <c r="DF15" i="28"/>
  <c r="DG15" i="28"/>
  <c r="DH15" i="28"/>
  <c r="DI15" i="28"/>
  <c r="DJ15" i="28"/>
  <c r="DK15" i="28"/>
  <c r="DL15" i="28"/>
  <c r="DM15" i="28"/>
  <c r="DN15" i="28"/>
  <c r="DO15" i="28"/>
  <c r="DP15" i="28"/>
  <c r="DQ15" i="28"/>
  <c r="DR15" i="28"/>
  <c r="DS15" i="28"/>
  <c r="DT15" i="28"/>
  <c r="DU15" i="28"/>
  <c r="DV15" i="28"/>
  <c r="DW15" i="28"/>
  <c r="DX15" i="28"/>
  <c r="DY15" i="28"/>
  <c r="DZ15" i="28"/>
  <c r="EA15" i="28"/>
  <c r="EB15" i="28"/>
  <c r="EC15" i="28"/>
  <c r="ED15" i="28"/>
  <c r="EE15" i="28"/>
  <c r="EF15" i="28"/>
  <c r="EG15" i="28"/>
  <c r="EH15" i="28"/>
  <c r="EI15" i="28"/>
  <c r="EJ15" i="28"/>
  <c r="EK15" i="28"/>
  <c r="EL15" i="28"/>
  <c r="EM15" i="28"/>
  <c r="EN15" i="28"/>
  <c r="EO15" i="28"/>
  <c r="EP15" i="28"/>
  <c r="EQ15" i="28"/>
  <c r="ER15" i="28"/>
  <c r="ES15" i="28"/>
  <c r="ET15" i="28"/>
  <c r="EU15" i="28"/>
  <c r="EV15" i="28"/>
  <c r="EW15" i="28"/>
  <c r="EX15" i="28"/>
  <c r="EY15" i="28"/>
  <c r="EZ15" i="28"/>
  <c r="FA15" i="28"/>
  <c r="FB15" i="28"/>
  <c r="FC15" i="28"/>
  <c r="FD15" i="28"/>
  <c r="FE15" i="28"/>
  <c r="FF15" i="28"/>
  <c r="FG15" i="28"/>
  <c r="FH15" i="28"/>
  <c r="FI15" i="28"/>
  <c r="FJ15" i="28"/>
  <c r="FK15" i="28"/>
  <c r="FL15" i="28"/>
  <c r="FM15" i="28"/>
  <c r="FN15" i="28"/>
  <c r="FO15" i="28"/>
  <c r="FP15" i="28"/>
  <c r="FQ15" i="28"/>
  <c r="FR15" i="28"/>
  <c r="FS15" i="28"/>
  <c r="FT15" i="28"/>
  <c r="FU15" i="28"/>
  <c r="FV15" i="28"/>
  <c r="FW15" i="28"/>
  <c r="FX15" i="28"/>
  <c r="FY15" i="28"/>
  <c r="FZ15" i="28"/>
  <c r="GA15" i="28"/>
  <c r="GB15" i="28"/>
  <c r="GC15" i="28"/>
  <c r="GD15" i="28"/>
  <c r="GE15" i="28"/>
  <c r="GF15" i="28"/>
  <c r="GG15" i="28"/>
  <c r="GH15" i="28"/>
  <c r="GI15" i="28"/>
  <c r="GJ15" i="28"/>
  <c r="GK15" i="28"/>
  <c r="GL15" i="28"/>
  <c r="GM15" i="28"/>
  <c r="GN15" i="28"/>
  <c r="GO15" i="28"/>
  <c r="GP15" i="28"/>
  <c r="GQ15" i="28"/>
  <c r="GR15" i="28"/>
  <c r="GS15" i="28"/>
  <c r="GT15" i="28"/>
  <c r="GU15" i="28"/>
  <c r="GV15" i="28"/>
  <c r="GW15" i="28"/>
  <c r="GX15" i="28"/>
  <c r="GY15" i="28"/>
  <c r="GZ15" i="28"/>
  <c r="HA15" i="28"/>
  <c r="HB15" i="28"/>
  <c r="HC15" i="28"/>
  <c r="HD15" i="28"/>
  <c r="HE15" i="28"/>
  <c r="HF15" i="28"/>
  <c r="HG15" i="28"/>
  <c r="HH15" i="28"/>
  <c r="HI15" i="28"/>
  <c r="HJ15" i="28"/>
  <c r="HK15" i="28"/>
  <c r="HL15" i="28"/>
  <c r="HM15" i="28"/>
  <c r="HN15" i="28"/>
  <c r="HO15" i="28"/>
  <c r="HP15" i="28"/>
  <c r="HQ15" i="28"/>
  <c r="HR15" i="28"/>
  <c r="HS15" i="28"/>
  <c r="HT15" i="28"/>
  <c r="HU15" i="28"/>
  <c r="HV15" i="28"/>
  <c r="HW15" i="28"/>
  <c r="HX15" i="28"/>
  <c r="HY15" i="28"/>
  <c r="HZ15" i="28"/>
  <c r="IA15" i="28"/>
  <c r="IB15" i="28"/>
  <c r="IC15" i="28"/>
  <c r="ID15" i="28"/>
  <c r="IE15" i="28"/>
  <c r="IF15" i="28"/>
  <c r="IG15" i="28"/>
  <c r="IH15" i="28"/>
  <c r="II15" i="28"/>
  <c r="IJ15" i="28"/>
  <c r="IK15" i="28"/>
  <c r="IL15" i="28"/>
  <c r="IM15" i="28"/>
  <c r="IN15" i="28"/>
  <c r="IO15" i="28"/>
  <c r="IP15" i="28"/>
  <c r="IQ15" i="28"/>
  <c r="IR15" i="28"/>
  <c r="IS15" i="28"/>
  <c r="IT15" i="28"/>
  <c r="IU15" i="28"/>
  <c r="IV15" i="28"/>
  <c r="A14" i="28"/>
  <c r="B14" i="28"/>
  <c r="C14" i="28"/>
  <c r="D14" i="28"/>
  <c r="E14" i="28"/>
  <c r="F14" i="28"/>
  <c r="G14" i="28"/>
  <c r="H14" i="28"/>
  <c r="I14" i="28"/>
  <c r="J14" i="28"/>
  <c r="K14" i="28"/>
  <c r="L14" i="28"/>
  <c r="M14" i="28"/>
  <c r="N14" i="28"/>
  <c r="O14" i="28"/>
  <c r="P14" i="28"/>
  <c r="Q14" i="28"/>
  <c r="R14" i="28"/>
  <c r="S14" i="28"/>
  <c r="T14" i="28"/>
  <c r="U14" i="28"/>
  <c r="V14" i="28"/>
  <c r="W14" i="28"/>
  <c r="X14" i="28"/>
  <c r="Y14" i="28"/>
  <c r="Z14" i="28"/>
  <c r="AA14" i="28"/>
  <c r="AB14" i="28"/>
  <c r="AC14" i="28"/>
  <c r="AD14" i="28"/>
  <c r="AE14" i="28"/>
  <c r="AF14" i="28"/>
  <c r="AG14" i="28"/>
  <c r="AH14" i="28"/>
  <c r="AI14" i="28"/>
  <c r="AJ14" i="28"/>
  <c r="AK14" i="28"/>
  <c r="AL14" i="28"/>
  <c r="AM14" i="28"/>
  <c r="AN14" i="28"/>
  <c r="AO14" i="28"/>
  <c r="AP14" i="28"/>
  <c r="AQ14" i="28"/>
  <c r="AR14" i="28"/>
  <c r="AS14" i="28"/>
  <c r="AT14" i="28"/>
  <c r="AU14" i="28"/>
  <c r="AV14" i="28"/>
  <c r="AW14" i="28"/>
  <c r="AX14" i="28"/>
  <c r="AY14" i="28"/>
  <c r="AZ14" i="28"/>
  <c r="BA14" i="28"/>
  <c r="BB14" i="28"/>
  <c r="BC14" i="28"/>
  <c r="BD14" i="28"/>
  <c r="BE14" i="28"/>
  <c r="BF14" i="28"/>
  <c r="BG14" i="28"/>
  <c r="BH14" i="28"/>
  <c r="BI14" i="28"/>
  <c r="BJ14" i="28"/>
  <c r="BK14" i="28"/>
  <c r="BL14" i="28"/>
  <c r="BM14" i="28"/>
  <c r="BN14" i="28"/>
  <c r="BO14" i="28"/>
  <c r="BP14" i="28"/>
  <c r="BQ14" i="28"/>
  <c r="BR14" i="28"/>
  <c r="BS14" i="28"/>
  <c r="BT14" i="28"/>
  <c r="BU14" i="28"/>
  <c r="BV14" i="28"/>
  <c r="BW14" i="28"/>
  <c r="BX14" i="28"/>
  <c r="BY14" i="28"/>
  <c r="BZ14" i="28"/>
  <c r="CA14" i="28"/>
  <c r="CB14" i="28"/>
  <c r="CC14" i="28"/>
  <c r="CD14" i="28"/>
  <c r="CE14" i="28"/>
  <c r="CF14" i="28"/>
  <c r="CG14" i="28"/>
  <c r="CH14" i="28"/>
  <c r="CI14" i="28"/>
  <c r="CJ14" i="28"/>
  <c r="CK14" i="28"/>
  <c r="CL14" i="28"/>
  <c r="CM14" i="28"/>
  <c r="CN14" i="28"/>
  <c r="CO14" i="28"/>
  <c r="CP14" i="28"/>
  <c r="CQ14" i="28"/>
  <c r="CR14" i="28"/>
  <c r="CS14" i="28"/>
  <c r="CT14" i="28"/>
  <c r="CU14" i="28"/>
  <c r="CV14" i="28"/>
  <c r="CW14" i="28"/>
  <c r="CX14" i="28"/>
  <c r="CY14" i="28"/>
  <c r="CZ14" i="28"/>
  <c r="DA14" i="28"/>
  <c r="DB14" i="28"/>
  <c r="DC14" i="28"/>
  <c r="DD14" i="28"/>
  <c r="DE14" i="28"/>
  <c r="DF14" i="28"/>
  <c r="DG14" i="28"/>
  <c r="DH14" i="28"/>
  <c r="DI14" i="28"/>
  <c r="DJ14" i="28"/>
  <c r="DK14" i="28"/>
  <c r="DL14" i="28"/>
  <c r="DM14" i="28"/>
  <c r="DN14" i="28"/>
  <c r="DO14" i="28"/>
  <c r="DP14" i="28"/>
  <c r="DQ14" i="28"/>
  <c r="DR14" i="28"/>
  <c r="DS14" i="28"/>
  <c r="DT14" i="28"/>
  <c r="DU14" i="28"/>
  <c r="DV14" i="28"/>
  <c r="DW14" i="28"/>
  <c r="DX14" i="28"/>
  <c r="DY14" i="28"/>
  <c r="DZ14" i="28"/>
  <c r="EA14" i="28"/>
  <c r="EB14" i="28"/>
  <c r="EC14" i="28"/>
  <c r="ED14" i="28"/>
  <c r="EE14" i="28"/>
  <c r="EF14" i="28"/>
  <c r="EG14" i="28"/>
  <c r="EH14" i="28"/>
  <c r="EI14" i="28"/>
  <c r="EJ14" i="28"/>
  <c r="EK14" i="28"/>
  <c r="EL14" i="28"/>
  <c r="EM14" i="28"/>
  <c r="EN14" i="28"/>
  <c r="EO14" i="28"/>
  <c r="EP14" i="28"/>
  <c r="EQ14" i="28"/>
  <c r="ER14" i="28"/>
  <c r="ES14" i="28"/>
  <c r="ET14" i="28"/>
  <c r="EU14" i="28"/>
  <c r="EV14" i="28"/>
  <c r="EW14" i="28"/>
  <c r="EX14" i="28"/>
  <c r="EY14" i="28"/>
  <c r="EZ14" i="28"/>
  <c r="FA14" i="28"/>
  <c r="FB14" i="28"/>
  <c r="FC14" i="28"/>
  <c r="FD14" i="28"/>
  <c r="FE14" i="28"/>
  <c r="FF14" i="28"/>
  <c r="FG14" i="28"/>
  <c r="FH14" i="28"/>
  <c r="FI14" i="28"/>
  <c r="FJ14" i="28"/>
  <c r="FK14" i="28"/>
  <c r="FL14" i="28"/>
  <c r="FM14" i="28"/>
  <c r="FN14" i="28"/>
  <c r="FO14" i="28"/>
  <c r="FP14" i="28"/>
  <c r="FQ14" i="28"/>
  <c r="FR14" i="28"/>
  <c r="FS14" i="28"/>
  <c r="FT14" i="28"/>
  <c r="FU14" i="28"/>
  <c r="FV14" i="28"/>
  <c r="FW14" i="28"/>
  <c r="FX14" i="28"/>
  <c r="FY14" i="28"/>
  <c r="FZ14" i="28"/>
  <c r="GA14" i="28"/>
  <c r="GB14" i="28"/>
  <c r="GC14" i="28"/>
  <c r="GD14" i="28"/>
  <c r="GE14" i="28"/>
  <c r="GF14" i="28"/>
  <c r="GG14" i="28"/>
  <c r="GH14" i="28"/>
  <c r="GI14" i="28"/>
  <c r="GJ14" i="28"/>
  <c r="GK14" i="28"/>
  <c r="GL14" i="28"/>
  <c r="GM14" i="28"/>
  <c r="GN14" i="28"/>
  <c r="GO14" i="28"/>
  <c r="GP14" i="28"/>
  <c r="GQ14" i="28"/>
  <c r="GR14" i="28"/>
  <c r="GS14" i="28"/>
  <c r="GT14" i="28"/>
  <c r="GU14" i="28"/>
  <c r="GV14" i="28"/>
  <c r="GW14" i="28"/>
  <c r="GX14" i="28"/>
  <c r="GY14" i="28"/>
  <c r="GZ14" i="28"/>
  <c r="HA14" i="28"/>
  <c r="HB14" i="28"/>
  <c r="HC14" i="28"/>
  <c r="HD14" i="28"/>
  <c r="HE14" i="28"/>
  <c r="HF14" i="28"/>
  <c r="HG14" i="28"/>
  <c r="HH14" i="28"/>
  <c r="HI14" i="28"/>
  <c r="HJ14" i="28"/>
  <c r="HK14" i="28"/>
  <c r="HL14" i="28"/>
  <c r="HM14" i="28"/>
  <c r="HN14" i="28"/>
  <c r="HO14" i="28"/>
  <c r="HP14" i="28"/>
  <c r="HQ14" i="28"/>
  <c r="HR14" i="28"/>
  <c r="HS14" i="28"/>
  <c r="HT14" i="28"/>
  <c r="HU14" i="28"/>
  <c r="HV14" i="28"/>
  <c r="HW14" i="28"/>
  <c r="HX14" i="28"/>
  <c r="HY14" i="28"/>
  <c r="HZ14" i="28"/>
  <c r="IA14" i="28"/>
  <c r="IB14" i="28"/>
  <c r="IC14" i="28"/>
  <c r="ID14" i="28"/>
  <c r="IE14" i="28"/>
  <c r="IF14" i="28"/>
  <c r="IG14" i="28"/>
  <c r="IH14" i="28"/>
  <c r="II14" i="28"/>
  <c r="IJ14" i="28"/>
  <c r="IK14" i="28"/>
  <c r="IL14" i="28"/>
  <c r="IM14" i="28"/>
  <c r="IN14" i="28"/>
  <c r="IO14" i="28"/>
  <c r="IP14" i="28"/>
  <c r="IQ14" i="28"/>
  <c r="IR14" i="28"/>
  <c r="IS14" i="28"/>
  <c r="IT14" i="28"/>
  <c r="IU14" i="28"/>
  <c r="IV14" i="28"/>
  <c r="A13" i="28"/>
  <c r="B13" i="28"/>
  <c r="C13" i="28"/>
  <c r="D13" i="28"/>
  <c r="E13" i="28"/>
  <c r="F13" i="28"/>
  <c r="G13" i="28"/>
  <c r="H13" i="28"/>
  <c r="I13" i="28"/>
  <c r="J13" i="28"/>
  <c r="K13" i="28"/>
  <c r="L13" i="28"/>
  <c r="M13" i="28"/>
  <c r="N13" i="28"/>
  <c r="O13" i="28"/>
  <c r="P13" i="28"/>
  <c r="Q13" i="28"/>
  <c r="R13" i="28"/>
  <c r="S13" i="28"/>
  <c r="T13" i="28"/>
  <c r="U13" i="28"/>
  <c r="V13" i="28"/>
  <c r="W13" i="28"/>
  <c r="X13" i="28"/>
  <c r="Y13" i="28"/>
  <c r="Z13" i="28"/>
  <c r="AA13" i="28"/>
  <c r="AB13" i="28"/>
  <c r="AC13" i="28"/>
  <c r="AD13" i="28"/>
  <c r="AE13" i="28"/>
  <c r="AF13" i="28"/>
  <c r="AG13" i="28"/>
  <c r="AH13" i="28"/>
  <c r="AI13" i="28"/>
  <c r="AJ13" i="28"/>
  <c r="AK13" i="28"/>
  <c r="AL13" i="28"/>
  <c r="AM13" i="28"/>
  <c r="AN13" i="28"/>
  <c r="AO13" i="28"/>
  <c r="AP13" i="28"/>
  <c r="AQ13" i="28"/>
  <c r="AR13" i="28"/>
  <c r="AS13" i="28"/>
  <c r="AT13" i="28"/>
  <c r="AU13" i="28"/>
  <c r="AV13" i="28"/>
  <c r="AW13" i="28"/>
  <c r="AX13" i="28"/>
  <c r="AY13" i="28"/>
  <c r="AZ13" i="28"/>
  <c r="BA13" i="28"/>
  <c r="BB13" i="28"/>
  <c r="BC13" i="28"/>
  <c r="BD13" i="28"/>
  <c r="BE13" i="28"/>
  <c r="BF13" i="28"/>
  <c r="BG13" i="28"/>
  <c r="BH13" i="28"/>
  <c r="BI13" i="28"/>
  <c r="BJ13" i="28"/>
  <c r="BK13" i="28"/>
  <c r="BL13" i="28"/>
  <c r="BM13" i="28"/>
  <c r="BN13" i="28"/>
  <c r="BO13" i="28"/>
  <c r="BP13" i="28"/>
  <c r="BQ13" i="28"/>
  <c r="BR13" i="28"/>
  <c r="BS13" i="28"/>
  <c r="BT13" i="28"/>
  <c r="BU13" i="28"/>
  <c r="BV13" i="28"/>
  <c r="BW13" i="28"/>
  <c r="BX13" i="28"/>
  <c r="BY13" i="28"/>
  <c r="BZ13" i="28"/>
  <c r="CA13" i="28"/>
  <c r="CB13" i="28"/>
  <c r="CC13" i="28"/>
  <c r="CD13" i="28"/>
  <c r="CE13" i="28"/>
  <c r="CF13" i="28"/>
  <c r="CG13" i="28"/>
  <c r="CH13" i="28"/>
  <c r="CI13" i="28"/>
  <c r="CJ13" i="28"/>
  <c r="CK13" i="28"/>
  <c r="CL13" i="28"/>
  <c r="CM13" i="28"/>
  <c r="CN13" i="28"/>
  <c r="CO13" i="28"/>
  <c r="CP13" i="28"/>
  <c r="CQ13" i="28"/>
  <c r="CR13" i="28"/>
  <c r="CS13" i="28"/>
  <c r="CT13" i="28"/>
  <c r="CU13" i="28"/>
  <c r="CV13" i="28"/>
  <c r="CW13" i="28"/>
  <c r="CX13" i="28"/>
  <c r="CY13" i="28"/>
  <c r="CZ13" i="28"/>
  <c r="DA13" i="28"/>
  <c r="DB13" i="28"/>
  <c r="DC13" i="28"/>
  <c r="DD13" i="28"/>
  <c r="DE13" i="28"/>
  <c r="DF13" i="28"/>
  <c r="DG13" i="28"/>
  <c r="DH13" i="28"/>
  <c r="DI13" i="28"/>
  <c r="DJ13" i="28"/>
  <c r="DK13" i="28"/>
  <c r="DL13" i="28"/>
  <c r="DM13" i="28"/>
  <c r="DN13" i="28"/>
  <c r="DO13" i="28"/>
  <c r="DP13" i="28"/>
  <c r="DQ13" i="28"/>
  <c r="DR13" i="28"/>
  <c r="DS13" i="28"/>
  <c r="DT13" i="28"/>
  <c r="DU13" i="28"/>
  <c r="DV13" i="28"/>
  <c r="DW13" i="28"/>
  <c r="DX13" i="28"/>
  <c r="DY13" i="28"/>
  <c r="DZ13" i="28"/>
  <c r="EA13" i="28"/>
  <c r="EB13" i="28"/>
  <c r="EC13" i="28"/>
  <c r="ED13" i="28"/>
  <c r="EE13" i="28"/>
  <c r="EF13" i="28"/>
  <c r="EG13" i="28"/>
  <c r="EH13" i="28"/>
  <c r="EI13" i="28"/>
  <c r="EJ13" i="28"/>
  <c r="EK13" i="28"/>
  <c r="EL13" i="28"/>
  <c r="EM13" i="28"/>
  <c r="EN13" i="28"/>
  <c r="EO13" i="28"/>
  <c r="EP13" i="28"/>
  <c r="EQ13" i="28"/>
  <c r="ER13" i="28"/>
  <c r="ES13" i="28"/>
  <c r="ET13" i="28"/>
  <c r="EU13" i="28"/>
  <c r="EV13" i="28"/>
  <c r="EW13" i="28"/>
  <c r="EX13" i="28"/>
  <c r="EY13" i="28"/>
  <c r="EZ13" i="28"/>
  <c r="FA13" i="28"/>
  <c r="FB13" i="28"/>
  <c r="FC13" i="28"/>
  <c r="FD13" i="28"/>
  <c r="FE13" i="28"/>
  <c r="FF13" i="28"/>
  <c r="FG13" i="28"/>
  <c r="FH13" i="28"/>
  <c r="FI13" i="28"/>
  <c r="FJ13" i="28"/>
  <c r="FK13" i="28"/>
  <c r="FL13" i="28"/>
  <c r="FM13" i="28"/>
  <c r="FN13" i="28"/>
  <c r="FO13" i="28"/>
  <c r="FP13" i="28"/>
  <c r="FQ13" i="28"/>
  <c r="FR13" i="28"/>
  <c r="FS13" i="28"/>
  <c r="FT13" i="28"/>
  <c r="FU13" i="28"/>
  <c r="FV13" i="28"/>
  <c r="FW13" i="28"/>
  <c r="FX13" i="28"/>
  <c r="FY13" i="28"/>
  <c r="FZ13" i="28"/>
  <c r="GA13" i="28"/>
  <c r="GB13" i="28"/>
  <c r="GC13" i="28"/>
  <c r="GD13" i="28"/>
  <c r="GE13" i="28"/>
  <c r="GF13" i="28"/>
  <c r="GG13" i="28"/>
  <c r="GH13" i="28"/>
  <c r="GI13" i="28"/>
  <c r="GJ13" i="28"/>
  <c r="GK13" i="28"/>
  <c r="GL13" i="28"/>
  <c r="GM13" i="28"/>
  <c r="GN13" i="28"/>
  <c r="GO13" i="28"/>
  <c r="GP13" i="28"/>
  <c r="GQ13" i="28"/>
  <c r="GR13" i="28"/>
  <c r="GS13" i="28"/>
  <c r="GT13" i="28"/>
  <c r="GU13" i="28"/>
  <c r="GV13" i="28"/>
  <c r="GW13" i="28"/>
  <c r="GX13" i="28"/>
  <c r="GY13" i="28"/>
  <c r="GZ13" i="28"/>
  <c r="HA13" i="28"/>
  <c r="HB13" i="28"/>
  <c r="HC13" i="28"/>
  <c r="HD13" i="28"/>
  <c r="HE13" i="28"/>
  <c r="HF13" i="28"/>
  <c r="HG13" i="28"/>
  <c r="HH13" i="28"/>
  <c r="HI13" i="28"/>
  <c r="HJ13" i="28"/>
  <c r="HK13" i="28"/>
  <c r="HL13" i="28"/>
  <c r="HM13" i="28"/>
  <c r="HN13" i="28"/>
  <c r="HO13" i="28"/>
  <c r="HP13" i="28"/>
  <c r="HQ13" i="28"/>
  <c r="HR13" i="28"/>
  <c r="HS13" i="28"/>
  <c r="HT13" i="28"/>
  <c r="HU13" i="28"/>
  <c r="HV13" i="28"/>
  <c r="HW13" i="28"/>
  <c r="HX13" i="28"/>
  <c r="HY13" i="28"/>
  <c r="HZ13" i="28"/>
  <c r="IA13" i="28"/>
  <c r="IB13" i="28"/>
  <c r="IC13" i="28"/>
  <c r="ID13" i="28"/>
  <c r="IE13" i="28"/>
  <c r="IF13" i="28"/>
  <c r="IG13" i="28"/>
  <c r="IH13" i="28"/>
  <c r="II13" i="28"/>
  <c r="IJ13" i="28"/>
  <c r="IK13" i="28"/>
  <c r="IL13" i="28"/>
  <c r="IM13" i="28"/>
  <c r="IN13" i="28"/>
  <c r="IO13" i="28"/>
  <c r="IP13" i="28"/>
  <c r="IQ13" i="28"/>
  <c r="IR13" i="28"/>
  <c r="IS13" i="28"/>
  <c r="IT13" i="28"/>
  <c r="IU13" i="28"/>
  <c r="IV13" i="28"/>
  <c r="A12" i="28"/>
  <c r="B12" i="28"/>
  <c r="C12" i="28"/>
  <c r="D12" i="28"/>
  <c r="E12" i="28"/>
  <c r="F12" i="28"/>
  <c r="G12" i="28"/>
  <c r="H12" i="28"/>
  <c r="I12" i="28"/>
  <c r="J12" i="28"/>
  <c r="K12" i="28"/>
  <c r="L12" i="28"/>
  <c r="M12" i="28"/>
  <c r="N12" i="28"/>
  <c r="O12" i="28"/>
  <c r="P12" i="28"/>
  <c r="Q12" i="28"/>
  <c r="R12" i="28"/>
  <c r="S12" i="28"/>
  <c r="T12" i="28"/>
  <c r="U12" i="28"/>
  <c r="V12" i="28"/>
  <c r="W12" i="28"/>
  <c r="X12" i="28"/>
  <c r="Y12" i="28"/>
  <c r="Z12" i="28"/>
  <c r="AA12" i="28"/>
  <c r="AB12" i="28"/>
  <c r="AC12" i="28"/>
  <c r="AD12" i="28"/>
  <c r="AE12" i="28"/>
  <c r="AF12" i="28"/>
  <c r="AG12" i="28"/>
  <c r="AH12" i="28"/>
  <c r="AI12" i="28"/>
  <c r="AJ12" i="28"/>
  <c r="AK12" i="28"/>
  <c r="AL12" i="28"/>
  <c r="AM12" i="28"/>
  <c r="AN12" i="28"/>
  <c r="AO12" i="28"/>
  <c r="AP12" i="28"/>
  <c r="AQ12" i="28"/>
  <c r="AR12" i="28"/>
  <c r="AS12" i="28"/>
  <c r="AT12" i="28"/>
  <c r="AU12" i="28"/>
  <c r="AV12" i="28"/>
  <c r="AW12" i="28"/>
  <c r="AX12" i="28"/>
  <c r="AY12" i="28"/>
  <c r="AZ12" i="28"/>
  <c r="BA12" i="28"/>
  <c r="BB12" i="28"/>
  <c r="BC12" i="28"/>
  <c r="BD12" i="28"/>
  <c r="BE12" i="28"/>
  <c r="BF12" i="28"/>
  <c r="BG12" i="28"/>
  <c r="BH12" i="28"/>
  <c r="BI12" i="28"/>
  <c r="BJ12" i="28"/>
  <c r="BK12" i="28"/>
  <c r="BL12" i="28"/>
  <c r="BM12" i="28"/>
  <c r="BN12" i="28"/>
  <c r="BO12" i="28"/>
  <c r="BP12" i="28"/>
  <c r="BQ12" i="28"/>
  <c r="BR12" i="28"/>
  <c r="BS12" i="28"/>
  <c r="BT12" i="28"/>
  <c r="BU12" i="28"/>
  <c r="BV12" i="28"/>
  <c r="BW12" i="28"/>
  <c r="BX12" i="28"/>
  <c r="BY12" i="28"/>
  <c r="BZ12" i="28"/>
  <c r="CA12" i="28"/>
  <c r="CB12" i="28"/>
  <c r="CC12" i="28"/>
  <c r="CD12" i="28"/>
  <c r="CE12" i="28"/>
  <c r="CF12" i="28"/>
  <c r="CG12" i="28"/>
  <c r="CH12" i="28"/>
  <c r="CI12" i="28"/>
  <c r="CJ12" i="28"/>
  <c r="CK12" i="28"/>
  <c r="CL12" i="28"/>
  <c r="CM12" i="28"/>
  <c r="CN12" i="28"/>
  <c r="CO12" i="28"/>
  <c r="CP12" i="28"/>
  <c r="CQ12" i="28"/>
  <c r="CR12" i="28"/>
  <c r="CS12" i="28"/>
  <c r="CT12" i="28"/>
  <c r="CU12" i="28"/>
  <c r="CV12" i="28"/>
  <c r="CW12" i="28"/>
  <c r="CX12" i="28"/>
  <c r="CY12" i="28"/>
  <c r="CZ12" i="28"/>
  <c r="DA12" i="28"/>
  <c r="DB12" i="28"/>
  <c r="DC12" i="28"/>
  <c r="DD12" i="28"/>
  <c r="DE12" i="28"/>
  <c r="DF12" i="28"/>
  <c r="DG12" i="28"/>
  <c r="DH12" i="28"/>
  <c r="DI12" i="28"/>
  <c r="DJ12" i="28"/>
  <c r="DK12" i="28"/>
  <c r="DL12" i="28"/>
  <c r="DM12" i="28"/>
  <c r="DN12" i="28"/>
  <c r="DO12" i="28"/>
  <c r="DP12" i="28"/>
  <c r="DQ12" i="28"/>
  <c r="DR12" i="28"/>
  <c r="DS12" i="28"/>
  <c r="DT12" i="28"/>
  <c r="DU12" i="28"/>
  <c r="DV12" i="28"/>
  <c r="DW12" i="28"/>
  <c r="DX12" i="28"/>
  <c r="DY12" i="28"/>
  <c r="DZ12" i="28"/>
  <c r="EA12" i="28"/>
  <c r="EB12" i="28"/>
  <c r="EC12" i="28"/>
  <c r="ED12" i="28"/>
  <c r="EE12" i="28"/>
  <c r="EF12" i="28"/>
  <c r="EG12" i="28"/>
  <c r="EH12" i="28"/>
  <c r="EI12" i="28"/>
  <c r="EJ12" i="28"/>
  <c r="EK12" i="28"/>
  <c r="EL12" i="28"/>
  <c r="EM12" i="28"/>
  <c r="EN12" i="28"/>
  <c r="EO12" i="28"/>
  <c r="EP12" i="28"/>
  <c r="EQ12" i="28"/>
  <c r="ER12" i="28"/>
  <c r="ES12" i="28"/>
  <c r="ET12" i="28"/>
  <c r="EU12" i="28"/>
  <c r="EV12" i="28"/>
  <c r="EW12" i="28"/>
  <c r="EX12" i="28"/>
  <c r="EY12" i="28"/>
  <c r="EZ12" i="28"/>
  <c r="FA12" i="28"/>
  <c r="FB12" i="28"/>
  <c r="FC12" i="28"/>
  <c r="FD12" i="28"/>
  <c r="FE12" i="28"/>
  <c r="FF12" i="28"/>
  <c r="FG12" i="28"/>
  <c r="FH12" i="28"/>
  <c r="FI12" i="28"/>
  <c r="FJ12" i="28"/>
  <c r="FK12" i="28"/>
  <c r="FL12" i="28"/>
  <c r="FM12" i="28"/>
  <c r="FN12" i="28"/>
  <c r="FO12" i="28"/>
  <c r="FP12" i="28"/>
  <c r="FQ12" i="28"/>
  <c r="FR12" i="28"/>
  <c r="FS12" i="28"/>
  <c r="FT12" i="28"/>
  <c r="FU12" i="28"/>
  <c r="FV12" i="28"/>
  <c r="FW12" i="28"/>
  <c r="FX12" i="28"/>
  <c r="FY12" i="28"/>
  <c r="FZ12" i="28"/>
  <c r="GA12" i="28"/>
  <c r="GB12" i="28"/>
  <c r="GC12" i="28"/>
  <c r="GD12" i="28"/>
  <c r="GE12" i="28"/>
  <c r="GF12" i="28"/>
  <c r="GG12" i="28"/>
  <c r="GH12" i="28"/>
  <c r="GI12" i="28"/>
  <c r="GJ12" i="28"/>
  <c r="GK12" i="28"/>
  <c r="GL12" i="28"/>
  <c r="GM12" i="28"/>
  <c r="GN12" i="28"/>
  <c r="GO12" i="28"/>
  <c r="GP12" i="28"/>
  <c r="GQ12" i="28"/>
  <c r="GR12" i="28"/>
  <c r="GS12" i="28"/>
  <c r="GT12" i="28"/>
  <c r="GU12" i="28"/>
  <c r="GV12" i="28"/>
  <c r="GW12" i="28"/>
  <c r="GX12" i="28"/>
  <c r="GY12" i="28"/>
  <c r="GZ12" i="28"/>
  <c r="HA12" i="28"/>
  <c r="HB12" i="28"/>
  <c r="HC12" i="28"/>
  <c r="HD12" i="28"/>
  <c r="HE12" i="28"/>
  <c r="HF12" i="28"/>
  <c r="HG12" i="28"/>
  <c r="HH12" i="28"/>
  <c r="HI12" i="28"/>
  <c r="HJ12" i="28"/>
  <c r="HK12" i="28"/>
  <c r="HL12" i="28"/>
  <c r="HM12" i="28"/>
  <c r="HN12" i="28"/>
  <c r="HO12" i="28"/>
  <c r="HP12" i="28"/>
  <c r="HQ12" i="28"/>
  <c r="HR12" i="28"/>
  <c r="HS12" i="28"/>
  <c r="HT12" i="28"/>
  <c r="HU12" i="28"/>
  <c r="HV12" i="28"/>
  <c r="HW12" i="28"/>
  <c r="HX12" i="28"/>
  <c r="HY12" i="28"/>
  <c r="HZ12" i="28"/>
  <c r="IA12" i="28"/>
  <c r="IB12" i="28"/>
  <c r="IC12" i="28"/>
  <c r="ID12" i="28"/>
  <c r="IE12" i="28"/>
  <c r="IF12" i="28"/>
  <c r="IG12" i="28"/>
  <c r="IH12" i="28"/>
  <c r="II12" i="28"/>
  <c r="IJ12" i="28"/>
  <c r="IK12" i="28"/>
  <c r="IL12" i="28"/>
  <c r="IM12" i="28"/>
  <c r="IN12" i="28"/>
  <c r="IO12" i="28"/>
  <c r="IP12" i="28"/>
  <c r="IQ12" i="28"/>
  <c r="IR12" i="28"/>
  <c r="IS12" i="28"/>
  <c r="IT12" i="28"/>
  <c r="IU12" i="28"/>
  <c r="IV12" i="28"/>
  <c r="A11" i="28"/>
  <c r="B11" i="28"/>
  <c r="C11" i="28"/>
  <c r="D11" i="28"/>
  <c r="E11" i="28"/>
  <c r="F11" i="28"/>
  <c r="G11" i="28"/>
  <c r="H11" i="28"/>
  <c r="I11" i="28"/>
  <c r="J11" i="28"/>
  <c r="K11" i="28"/>
  <c r="L11" i="28"/>
  <c r="M11" i="28"/>
  <c r="N11" i="28"/>
  <c r="O11" i="28"/>
  <c r="P11" i="28"/>
  <c r="Q11" i="28"/>
  <c r="R11" i="28"/>
  <c r="S11" i="28"/>
  <c r="T11" i="28"/>
  <c r="U11" i="28"/>
  <c r="V11" i="28"/>
  <c r="W11" i="28"/>
  <c r="X11" i="28"/>
  <c r="Y11" i="28"/>
  <c r="Z11" i="28"/>
  <c r="AA11" i="28"/>
  <c r="AB11" i="28"/>
  <c r="AC11" i="28"/>
  <c r="AD11" i="28"/>
  <c r="AE11" i="28"/>
  <c r="AF11" i="28"/>
  <c r="AG11" i="28"/>
  <c r="AH11" i="28"/>
  <c r="AI11" i="28"/>
  <c r="AJ11" i="28"/>
  <c r="AK11" i="28"/>
  <c r="AL11" i="28"/>
  <c r="AM11" i="28"/>
  <c r="AN11" i="28"/>
  <c r="AO11" i="28"/>
  <c r="AP11" i="28"/>
  <c r="AQ11" i="28"/>
  <c r="AR11" i="28"/>
  <c r="AS11" i="28"/>
  <c r="AT11" i="28"/>
  <c r="AU11" i="28"/>
  <c r="AV11" i="28"/>
  <c r="AW11" i="28"/>
  <c r="AX11" i="28"/>
  <c r="AY11" i="28"/>
  <c r="AZ11" i="28"/>
  <c r="BA11" i="28"/>
  <c r="BB11" i="28"/>
  <c r="BC11" i="28"/>
  <c r="BD11" i="28"/>
  <c r="BE11" i="28"/>
  <c r="BF11" i="28"/>
  <c r="BG11" i="28"/>
  <c r="BH11" i="28"/>
  <c r="BI11" i="28"/>
  <c r="BJ11" i="28"/>
  <c r="BK11" i="28"/>
  <c r="BL11" i="28"/>
  <c r="BM11" i="28"/>
  <c r="BN11" i="28"/>
  <c r="BO11" i="28"/>
  <c r="BP11" i="28"/>
  <c r="BQ11" i="28"/>
  <c r="BR11" i="28"/>
  <c r="BS11" i="28"/>
  <c r="BT11" i="28"/>
  <c r="BU11" i="28"/>
  <c r="BV11" i="28"/>
  <c r="BW11" i="28"/>
  <c r="BX11" i="28"/>
  <c r="BY11" i="28"/>
  <c r="BZ11" i="28"/>
  <c r="CA11" i="28"/>
  <c r="CB11" i="28"/>
  <c r="CC11" i="28"/>
  <c r="CD11" i="28"/>
  <c r="CE11" i="28"/>
  <c r="CF11" i="28"/>
  <c r="CG11" i="28"/>
  <c r="CH11" i="28"/>
  <c r="CI11" i="28"/>
  <c r="CJ11" i="28"/>
  <c r="CK11" i="28"/>
  <c r="CL11" i="28"/>
  <c r="CM11" i="28"/>
  <c r="CN11" i="28"/>
  <c r="CO11" i="28"/>
  <c r="CP11" i="28"/>
  <c r="CQ11" i="28"/>
  <c r="CR11" i="28"/>
  <c r="CS11" i="28"/>
  <c r="CT11" i="28"/>
  <c r="CU11" i="28"/>
  <c r="CV11" i="28"/>
  <c r="CW11" i="28"/>
  <c r="CX11" i="28"/>
  <c r="CY11" i="28"/>
  <c r="CZ11" i="28"/>
  <c r="DA11" i="28"/>
  <c r="DB11" i="28"/>
  <c r="DC11" i="28"/>
  <c r="DD11" i="28"/>
  <c r="DE11" i="28"/>
  <c r="DF11" i="28"/>
  <c r="DG11" i="28"/>
  <c r="DH11" i="28"/>
  <c r="DI11" i="28"/>
  <c r="DJ11" i="28"/>
  <c r="DK11" i="28"/>
  <c r="DL11" i="28"/>
  <c r="DM11" i="28"/>
  <c r="DN11" i="28"/>
  <c r="DO11" i="28"/>
  <c r="DP11" i="28"/>
  <c r="DQ11" i="28"/>
  <c r="DR11" i="28"/>
  <c r="DS11" i="28"/>
  <c r="DT11" i="28"/>
  <c r="DU11" i="28"/>
  <c r="DV11" i="28"/>
  <c r="DW11" i="28"/>
  <c r="DX11" i="28"/>
  <c r="DY11" i="28"/>
  <c r="DZ11" i="28"/>
  <c r="EA11" i="28"/>
  <c r="EB11" i="28"/>
  <c r="EC11" i="28"/>
  <c r="ED11" i="28"/>
  <c r="EE11" i="28"/>
  <c r="EF11" i="28"/>
  <c r="EG11" i="28"/>
  <c r="EH11" i="28"/>
  <c r="EI11" i="28"/>
  <c r="EJ11" i="28"/>
  <c r="EK11" i="28"/>
  <c r="EL11" i="28"/>
  <c r="EM11" i="28"/>
  <c r="EN11" i="28"/>
  <c r="EO11" i="28"/>
  <c r="EP11" i="28"/>
  <c r="EQ11" i="28"/>
  <c r="ER11" i="28"/>
  <c r="ES11" i="28"/>
  <c r="ET11" i="28"/>
  <c r="EU11" i="28"/>
  <c r="EV11" i="28"/>
  <c r="EW11" i="28"/>
  <c r="EX11" i="28"/>
  <c r="EY11" i="28"/>
  <c r="EZ11" i="28"/>
  <c r="FA11" i="28"/>
  <c r="FB11" i="28"/>
  <c r="FC11" i="28"/>
  <c r="FD11" i="28"/>
  <c r="FE11" i="28"/>
  <c r="FF11" i="28"/>
  <c r="FG11" i="28"/>
  <c r="FH11" i="28"/>
  <c r="FI11" i="28"/>
  <c r="FJ11" i="28"/>
  <c r="FK11" i="28"/>
  <c r="FL11" i="28"/>
  <c r="FM11" i="28"/>
  <c r="FN11" i="28"/>
  <c r="FO11" i="28"/>
  <c r="FP11" i="28"/>
  <c r="FQ11" i="28"/>
  <c r="FR11" i="28"/>
  <c r="FS11" i="28"/>
  <c r="FT11" i="28"/>
  <c r="FU11" i="28"/>
  <c r="FV11" i="28"/>
  <c r="FW11" i="28"/>
  <c r="FX11" i="28"/>
  <c r="FY11" i="28"/>
  <c r="FZ11" i="28"/>
  <c r="GA11" i="28"/>
  <c r="GB11" i="28"/>
  <c r="GC11" i="28"/>
  <c r="GD11" i="28"/>
  <c r="GE11" i="28"/>
  <c r="GF11" i="28"/>
  <c r="GG11" i="28"/>
  <c r="GH11" i="28"/>
  <c r="GI11" i="28"/>
  <c r="GJ11" i="28"/>
  <c r="GK11" i="28"/>
  <c r="GL11" i="28"/>
  <c r="GM11" i="28"/>
  <c r="GN11" i="28"/>
  <c r="GO11" i="28"/>
  <c r="GP11" i="28"/>
  <c r="GQ11" i="28"/>
  <c r="GR11" i="28"/>
  <c r="GS11" i="28"/>
  <c r="GT11" i="28"/>
  <c r="GU11" i="28"/>
  <c r="GV11" i="28"/>
  <c r="GW11" i="28"/>
  <c r="GX11" i="28"/>
  <c r="GY11" i="28"/>
  <c r="GZ11" i="28"/>
  <c r="HA11" i="28"/>
  <c r="HB11" i="28"/>
  <c r="HC11" i="28"/>
  <c r="HD11" i="28"/>
  <c r="HE11" i="28"/>
  <c r="HF11" i="28"/>
  <c r="HG11" i="28"/>
  <c r="HH11" i="28"/>
  <c r="HI11" i="28"/>
  <c r="HJ11" i="28"/>
  <c r="HK11" i="28"/>
  <c r="HL11" i="28"/>
  <c r="HM11" i="28"/>
  <c r="HN11" i="28"/>
  <c r="HO11" i="28"/>
  <c r="HP11" i="28"/>
  <c r="HQ11" i="28"/>
  <c r="HR11" i="28"/>
  <c r="HS11" i="28"/>
  <c r="HT11" i="28"/>
  <c r="HU11" i="28"/>
  <c r="HV11" i="28"/>
  <c r="HW11" i="28"/>
  <c r="HX11" i="28"/>
  <c r="HY11" i="28"/>
  <c r="HZ11" i="28"/>
  <c r="IA11" i="28"/>
  <c r="IB11" i="28"/>
  <c r="IC11" i="28"/>
  <c r="ID11" i="28"/>
  <c r="IE11" i="28"/>
  <c r="IF11" i="28"/>
  <c r="IG11" i="28"/>
  <c r="IH11" i="28"/>
  <c r="II11" i="28"/>
  <c r="IJ11" i="28"/>
  <c r="IK11" i="28"/>
  <c r="IL11" i="28"/>
  <c r="IM11" i="28"/>
  <c r="IN11" i="28"/>
  <c r="IO11" i="28"/>
  <c r="IP11" i="28"/>
  <c r="IQ11" i="28"/>
  <c r="IR11" i="28"/>
  <c r="IS11" i="28"/>
  <c r="IT11" i="28"/>
  <c r="IU11" i="28"/>
  <c r="IV11" i="28"/>
  <c r="A10" i="28"/>
  <c r="B10" i="28"/>
  <c r="C10" i="28"/>
  <c r="D10" i="28"/>
  <c r="E10" i="28"/>
  <c r="F10" i="28"/>
  <c r="G10" i="28"/>
  <c r="H10" i="28"/>
  <c r="I10" i="28"/>
  <c r="J10" i="28"/>
  <c r="K10" i="28"/>
  <c r="L10" i="28"/>
  <c r="M10" i="28"/>
  <c r="N10" i="28"/>
  <c r="O10" i="28"/>
  <c r="P10" i="28"/>
  <c r="Q10" i="28"/>
  <c r="R10" i="28"/>
  <c r="S10" i="28"/>
  <c r="T10" i="28"/>
  <c r="U10" i="28"/>
  <c r="V10" i="28"/>
  <c r="W10" i="28"/>
  <c r="X10" i="28"/>
  <c r="Y10" i="28"/>
  <c r="Z10" i="28"/>
  <c r="AA10" i="28"/>
  <c r="AB10" i="28"/>
  <c r="AC10" i="28"/>
  <c r="AD10" i="28"/>
  <c r="AE10" i="28"/>
  <c r="AF10" i="28"/>
  <c r="AG10" i="28"/>
  <c r="AH10" i="28"/>
  <c r="AI10" i="28"/>
  <c r="AJ10" i="28"/>
  <c r="AK10" i="28"/>
  <c r="AL10" i="28"/>
  <c r="AM10" i="28"/>
  <c r="AN10" i="28"/>
  <c r="AO10" i="28"/>
  <c r="AP10" i="28"/>
  <c r="AQ10" i="28"/>
  <c r="AR10" i="28"/>
  <c r="AS10" i="28"/>
  <c r="AT10" i="28"/>
  <c r="AU10" i="28"/>
  <c r="AV10" i="28"/>
  <c r="AW10" i="28"/>
  <c r="AX10" i="28"/>
  <c r="AY10" i="28"/>
  <c r="AZ10" i="28"/>
  <c r="BA10" i="28"/>
  <c r="BB10" i="28"/>
  <c r="BC10" i="28"/>
  <c r="BD10" i="28"/>
  <c r="BE10" i="28"/>
  <c r="BF10" i="28"/>
  <c r="BG10" i="28"/>
  <c r="BH10" i="28"/>
  <c r="BI10" i="28"/>
  <c r="BJ10" i="28"/>
  <c r="BK10" i="28"/>
  <c r="BL10" i="28"/>
  <c r="BM10" i="28"/>
  <c r="BN10" i="28"/>
  <c r="BO10" i="28"/>
  <c r="BP10" i="28"/>
  <c r="BQ10" i="28"/>
  <c r="BR10" i="28"/>
  <c r="BS10" i="28"/>
  <c r="BT10" i="28"/>
  <c r="BU10" i="28"/>
  <c r="BV10" i="28"/>
  <c r="BW10" i="28"/>
  <c r="BX10" i="28"/>
  <c r="BY10" i="28"/>
  <c r="BZ10" i="28"/>
  <c r="CA10" i="28"/>
  <c r="CB10" i="28"/>
  <c r="CC10" i="28"/>
  <c r="CD10" i="28"/>
  <c r="CE10" i="28"/>
  <c r="CF10" i="28"/>
  <c r="CG10" i="28"/>
  <c r="CH10" i="28"/>
  <c r="CI10" i="28"/>
  <c r="CJ10" i="28"/>
  <c r="CK10" i="28"/>
  <c r="CL10" i="28"/>
  <c r="CM10" i="28"/>
  <c r="CN10" i="28"/>
  <c r="CO10" i="28"/>
  <c r="CP10" i="28"/>
  <c r="CQ10" i="28"/>
  <c r="CR10" i="28"/>
  <c r="CS10" i="28"/>
  <c r="CT10" i="28"/>
  <c r="CU10" i="28"/>
  <c r="CV10" i="28"/>
  <c r="CW10" i="28"/>
  <c r="CX10" i="28"/>
  <c r="CY10" i="28"/>
  <c r="CZ10" i="28"/>
  <c r="DA10" i="28"/>
  <c r="DB10" i="28"/>
  <c r="DC10" i="28"/>
  <c r="DD10" i="28"/>
  <c r="DE10" i="28"/>
  <c r="DF10" i="28"/>
  <c r="DG10" i="28"/>
  <c r="DH10" i="28"/>
  <c r="DI10" i="28"/>
  <c r="DJ10" i="28"/>
  <c r="DK10" i="28"/>
  <c r="DL10" i="28"/>
  <c r="DM10" i="28"/>
  <c r="DN10" i="28"/>
  <c r="DO10" i="28"/>
  <c r="DP10" i="28"/>
  <c r="DQ10" i="28"/>
  <c r="DR10" i="28"/>
  <c r="DS10" i="28"/>
  <c r="DT10" i="28"/>
  <c r="DU10" i="28"/>
  <c r="DV10" i="28"/>
  <c r="DW10" i="28"/>
  <c r="DX10" i="28"/>
  <c r="DY10" i="28"/>
  <c r="DZ10" i="28"/>
  <c r="EA10" i="28"/>
  <c r="EB10" i="28"/>
  <c r="EC10" i="28"/>
  <c r="ED10" i="28"/>
  <c r="EE10" i="28"/>
  <c r="EF10" i="28"/>
  <c r="EG10" i="28"/>
  <c r="EH10" i="28"/>
  <c r="EI10" i="28"/>
  <c r="EJ10" i="28"/>
  <c r="EK10" i="28"/>
  <c r="EL10" i="28"/>
  <c r="EM10" i="28"/>
  <c r="EN10" i="28"/>
  <c r="EO10" i="28"/>
  <c r="EP10" i="28"/>
  <c r="EQ10" i="28"/>
  <c r="ER10" i="28"/>
  <c r="ES10" i="28"/>
  <c r="ET10" i="28"/>
  <c r="EU10" i="28"/>
  <c r="EV10" i="28"/>
  <c r="EW10" i="28"/>
  <c r="EX10" i="28"/>
  <c r="EY10" i="28"/>
  <c r="EZ10" i="28"/>
  <c r="FA10" i="28"/>
  <c r="FB10" i="28"/>
  <c r="FC10" i="28"/>
  <c r="FD10" i="28"/>
  <c r="FE10" i="28"/>
  <c r="FF10" i="28"/>
  <c r="FG10" i="28"/>
  <c r="FH10" i="28"/>
  <c r="FI10" i="28"/>
  <c r="FJ10" i="28"/>
  <c r="FK10" i="28"/>
  <c r="FL10" i="28"/>
  <c r="FM10" i="28"/>
  <c r="FN10" i="28"/>
  <c r="FO10" i="28"/>
  <c r="FP10" i="28"/>
  <c r="FQ10" i="28"/>
  <c r="FR10" i="28"/>
  <c r="FS10" i="28"/>
  <c r="FT10" i="28"/>
  <c r="FU10" i="28"/>
  <c r="FV10" i="28"/>
  <c r="FW10" i="28"/>
  <c r="FX10" i="28"/>
  <c r="FY10" i="28"/>
  <c r="FZ10" i="28"/>
  <c r="GA10" i="28"/>
  <c r="GB10" i="28"/>
  <c r="GC10" i="28"/>
  <c r="GD10" i="28"/>
  <c r="GE10" i="28"/>
  <c r="GF10" i="28"/>
  <c r="GG10" i="28"/>
  <c r="GH10" i="28"/>
  <c r="GI10" i="28"/>
  <c r="GJ10" i="28"/>
  <c r="GK10" i="28"/>
  <c r="GL10" i="28"/>
  <c r="GM10" i="28"/>
  <c r="GN10" i="28"/>
  <c r="GO10" i="28"/>
  <c r="GP10" i="28"/>
  <c r="GQ10" i="28"/>
  <c r="GR10" i="28"/>
  <c r="GS10" i="28"/>
  <c r="GT10" i="28"/>
  <c r="GU10" i="28"/>
  <c r="GV10" i="28"/>
  <c r="GW10" i="28"/>
  <c r="GX10" i="28"/>
  <c r="GY10" i="28"/>
  <c r="GZ10" i="28"/>
  <c r="HA10" i="28"/>
  <c r="HB10" i="28"/>
  <c r="HC10" i="28"/>
  <c r="HD10" i="28"/>
  <c r="HE10" i="28"/>
  <c r="HF10" i="28"/>
  <c r="HG10" i="28"/>
  <c r="HH10" i="28"/>
  <c r="HI10" i="28"/>
  <c r="HJ10" i="28"/>
  <c r="HK10" i="28"/>
  <c r="HL10" i="28"/>
  <c r="HM10" i="28"/>
  <c r="HN10" i="28"/>
  <c r="HO10" i="28"/>
  <c r="HP10" i="28"/>
  <c r="HQ10" i="28"/>
  <c r="HR10" i="28"/>
  <c r="HS10" i="28"/>
  <c r="HT10" i="28"/>
  <c r="HU10" i="28"/>
  <c r="HV10" i="28"/>
  <c r="HW10" i="28"/>
  <c r="HX10" i="28"/>
  <c r="HY10" i="28"/>
  <c r="HZ10" i="28"/>
  <c r="IA10" i="28"/>
  <c r="IB10" i="28"/>
  <c r="IC10" i="28"/>
  <c r="ID10" i="28"/>
  <c r="IE10" i="28"/>
  <c r="IF10" i="28"/>
  <c r="IG10" i="28"/>
  <c r="IH10" i="28"/>
  <c r="II10" i="28"/>
  <c r="IJ10" i="28"/>
  <c r="IK10" i="28"/>
  <c r="IL10" i="28"/>
  <c r="IM10" i="28"/>
  <c r="IN10" i="28"/>
  <c r="IO10" i="28"/>
  <c r="IP10" i="28"/>
  <c r="IQ10" i="28"/>
  <c r="IR10" i="28"/>
  <c r="IS10" i="28"/>
  <c r="IT10" i="28"/>
  <c r="IU10" i="28"/>
  <c r="IV10" i="28"/>
  <c r="A9" i="28"/>
  <c r="B9" i="28"/>
  <c r="C9" i="28"/>
  <c r="D9" i="28"/>
  <c r="E9" i="28"/>
  <c r="F9" i="28"/>
  <c r="G9" i="28"/>
  <c r="H9" i="28"/>
  <c r="I9" i="28"/>
  <c r="J9" i="28"/>
  <c r="K9" i="28"/>
  <c r="L9" i="28"/>
  <c r="M9" i="28"/>
  <c r="N9" i="28"/>
  <c r="O9" i="28"/>
  <c r="P9" i="28"/>
  <c r="Q9" i="28"/>
  <c r="R9" i="28"/>
  <c r="S9" i="28"/>
  <c r="T9" i="28"/>
  <c r="U9" i="28"/>
  <c r="V9" i="28"/>
  <c r="W9" i="28"/>
  <c r="X9" i="28"/>
  <c r="Y9" i="28"/>
  <c r="Z9" i="28"/>
  <c r="AA9" i="28"/>
  <c r="AB9" i="28"/>
  <c r="AC9" i="28"/>
  <c r="AD9" i="28"/>
  <c r="AE9" i="28"/>
  <c r="AF9" i="28"/>
  <c r="AG9" i="28"/>
  <c r="AH9" i="28"/>
  <c r="AI9" i="28"/>
  <c r="AJ9" i="28"/>
  <c r="AK9" i="28"/>
  <c r="AL9" i="28"/>
  <c r="AM9" i="28"/>
  <c r="AN9" i="28"/>
  <c r="AO9" i="28"/>
  <c r="AP9" i="28"/>
  <c r="AQ9" i="28"/>
  <c r="AR9" i="28"/>
  <c r="AS9" i="28"/>
  <c r="AT9" i="28"/>
  <c r="AU9" i="28"/>
  <c r="AV9" i="28"/>
  <c r="AW9" i="28"/>
  <c r="AX9" i="28"/>
  <c r="AY9" i="28"/>
  <c r="AZ9" i="28"/>
  <c r="BA9" i="28"/>
  <c r="BB9" i="28"/>
  <c r="BC9" i="28"/>
  <c r="BD9" i="28"/>
  <c r="BE9" i="28"/>
  <c r="BF9" i="28"/>
  <c r="BG9" i="28"/>
  <c r="BH9" i="28"/>
  <c r="BI9" i="28"/>
  <c r="BJ9" i="28"/>
  <c r="BK9" i="28"/>
  <c r="BL9" i="28"/>
  <c r="BM9" i="28"/>
  <c r="BN9" i="28"/>
  <c r="BO9" i="28"/>
  <c r="BP9" i="28"/>
  <c r="BQ9" i="28"/>
  <c r="BR9" i="28"/>
  <c r="BS9" i="28"/>
  <c r="BT9" i="28"/>
  <c r="BU9" i="28"/>
  <c r="BV9" i="28"/>
  <c r="BW9" i="28"/>
  <c r="BX9" i="28"/>
  <c r="BY9" i="28"/>
  <c r="BZ9" i="28"/>
  <c r="CA9" i="28"/>
  <c r="CB9" i="28"/>
  <c r="CC9" i="28"/>
  <c r="CD9" i="28"/>
  <c r="CE9" i="28"/>
  <c r="CF9" i="28"/>
  <c r="CG9" i="28"/>
  <c r="CH9" i="28"/>
  <c r="CI9" i="28"/>
  <c r="CJ9" i="28"/>
  <c r="CK9" i="28"/>
  <c r="CL9" i="28"/>
  <c r="CM9" i="28"/>
  <c r="CN9" i="28"/>
  <c r="CO9" i="28"/>
  <c r="CP9" i="28"/>
  <c r="CQ9" i="28"/>
  <c r="CR9" i="28"/>
  <c r="CS9" i="28"/>
  <c r="CT9" i="28"/>
  <c r="CU9" i="28"/>
  <c r="CV9" i="28"/>
  <c r="CW9" i="28"/>
  <c r="CX9" i="28"/>
  <c r="CY9" i="28"/>
  <c r="CZ9" i="28"/>
  <c r="DA9" i="28"/>
  <c r="DB9" i="28"/>
  <c r="DC9" i="28"/>
  <c r="DD9" i="28"/>
  <c r="DE9" i="28"/>
  <c r="DF9" i="28"/>
  <c r="DG9" i="28"/>
  <c r="DH9" i="28"/>
  <c r="DI9" i="28"/>
  <c r="DJ9" i="28"/>
  <c r="DK9" i="28"/>
  <c r="DL9" i="28"/>
  <c r="DM9" i="28"/>
  <c r="DN9" i="28"/>
  <c r="DO9" i="28"/>
  <c r="DP9" i="28"/>
  <c r="DQ9" i="28"/>
  <c r="DR9" i="28"/>
  <c r="DS9" i="28"/>
  <c r="DT9" i="28"/>
  <c r="DU9" i="28"/>
  <c r="DV9" i="28"/>
  <c r="DW9" i="28"/>
  <c r="DX9" i="28"/>
  <c r="DY9" i="28"/>
  <c r="DZ9" i="28"/>
  <c r="EA9" i="28"/>
  <c r="EB9" i="28"/>
  <c r="EC9" i="28"/>
  <c r="ED9" i="28"/>
  <c r="EE9" i="28"/>
  <c r="EF9" i="28"/>
  <c r="EG9" i="28"/>
  <c r="EH9" i="28"/>
  <c r="EI9" i="28"/>
  <c r="EJ9" i="28"/>
  <c r="EK9" i="28"/>
  <c r="EL9" i="28"/>
  <c r="EM9" i="28"/>
  <c r="EN9" i="28"/>
  <c r="EO9" i="28"/>
  <c r="EP9" i="28"/>
  <c r="EQ9" i="28"/>
  <c r="ER9" i="28"/>
  <c r="ES9" i="28"/>
  <c r="ET9" i="28"/>
  <c r="EU9" i="28"/>
  <c r="EV9" i="28"/>
  <c r="EW9" i="28"/>
  <c r="EX9" i="28"/>
  <c r="EY9" i="28"/>
  <c r="EZ9" i="28"/>
  <c r="FA9" i="28"/>
  <c r="FB9" i="28"/>
  <c r="FC9" i="28"/>
  <c r="FD9" i="28"/>
  <c r="FE9" i="28"/>
  <c r="FF9" i="28"/>
  <c r="FG9" i="28"/>
  <c r="FH9" i="28"/>
  <c r="FI9" i="28"/>
  <c r="FJ9" i="28"/>
  <c r="FK9" i="28"/>
  <c r="FL9" i="28"/>
  <c r="FM9" i="28"/>
  <c r="FN9" i="28"/>
  <c r="FO9" i="28"/>
  <c r="FP9" i="28"/>
  <c r="FQ9" i="28"/>
  <c r="FR9" i="28"/>
  <c r="FS9" i="28"/>
  <c r="FT9" i="28"/>
  <c r="FU9" i="28"/>
  <c r="FV9" i="28"/>
  <c r="FW9" i="28"/>
  <c r="FX9" i="28"/>
  <c r="FY9" i="28"/>
  <c r="FZ9" i="28"/>
  <c r="GA9" i="28"/>
  <c r="GB9" i="28"/>
  <c r="GC9" i="28"/>
  <c r="GD9" i="28"/>
  <c r="GE9" i="28"/>
  <c r="GF9" i="28"/>
  <c r="GG9" i="28"/>
  <c r="GH9" i="28"/>
  <c r="GI9" i="28"/>
  <c r="GJ9" i="28"/>
  <c r="GK9" i="28"/>
  <c r="GL9" i="28"/>
  <c r="GM9" i="28"/>
  <c r="GN9" i="28"/>
  <c r="GO9" i="28"/>
  <c r="GP9" i="28"/>
  <c r="GQ9" i="28"/>
  <c r="GR9" i="28"/>
  <c r="GS9" i="28"/>
  <c r="GT9" i="28"/>
  <c r="GU9" i="28"/>
  <c r="GV9" i="28"/>
  <c r="GW9" i="28"/>
  <c r="GX9" i="28"/>
  <c r="GY9" i="28"/>
  <c r="GZ9" i="28"/>
  <c r="HA9" i="28"/>
  <c r="HB9" i="28"/>
  <c r="HC9" i="28"/>
  <c r="HD9" i="28"/>
  <c r="HE9" i="28"/>
  <c r="HF9" i="28"/>
  <c r="HG9" i="28"/>
  <c r="HH9" i="28"/>
  <c r="HI9" i="28"/>
  <c r="HJ9" i="28"/>
  <c r="HK9" i="28"/>
  <c r="HL9" i="28"/>
  <c r="HM9" i="28"/>
  <c r="HN9" i="28"/>
  <c r="HO9" i="28"/>
  <c r="HP9" i="28"/>
  <c r="HQ9" i="28"/>
  <c r="HR9" i="28"/>
  <c r="HS9" i="28"/>
  <c r="HT9" i="28"/>
  <c r="HU9" i="28"/>
  <c r="HV9" i="28"/>
  <c r="HW9" i="28"/>
  <c r="HX9" i="28"/>
  <c r="HY9" i="28"/>
  <c r="HZ9" i="28"/>
  <c r="IA9" i="28"/>
  <c r="IB9" i="28"/>
  <c r="IC9" i="28"/>
  <c r="ID9" i="28"/>
  <c r="IE9" i="28"/>
  <c r="IF9" i="28"/>
  <c r="IG9" i="28"/>
  <c r="IH9" i="28"/>
  <c r="II9" i="28"/>
  <c r="IJ9" i="28"/>
  <c r="IK9" i="28"/>
  <c r="IL9" i="28"/>
  <c r="IM9" i="28"/>
  <c r="IN9" i="28"/>
  <c r="IO9" i="28"/>
  <c r="IP9" i="28"/>
  <c r="IQ9" i="28"/>
  <c r="IR9" i="28"/>
  <c r="IS9" i="28"/>
  <c r="IT9" i="28"/>
  <c r="IU9" i="28"/>
  <c r="IV9" i="28"/>
  <c r="A8" i="28"/>
  <c r="B8" i="28"/>
  <c r="C8" i="28"/>
  <c r="D8" i="28"/>
  <c r="E8" i="28"/>
  <c r="F8" i="28"/>
  <c r="G8" i="28"/>
  <c r="H8" i="28"/>
  <c r="I8" i="28"/>
  <c r="J8" i="28"/>
  <c r="K8" i="28"/>
  <c r="L8" i="28"/>
  <c r="M8" i="28"/>
  <c r="N8" i="28"/>
  <c r="O8" i="28"/>
  <c r="P8" i="28"/>
  <c r="Q8" i="28"/>
  <c r="R8" i="28"/>
  <c r="S8" i="28"/>
  <c r="T8" i="28"/>
  <c r="U8" i="28"/>
  <c r="V8" i="28"/>
  <c r="W8" i="28"/>
  <c r="X8" i="28"/>
  <c r="Y8" i="28"/>
  <c r="Z8" i="28"/>
  <c r="AA8" i="28"/>
  <c r="AB8" i="28"/>
  <c r="AC8" i="28"/>
  <c r="AD8" i="28"/>
  <c r="AE8" i="28"/>
  <c r="AF8" i="28"/>
  <c r="AG8" i="28"/>
  <c r="AH8" i="28"/>
  <c r="AI8" i="28"/>
  <c r="AJ8" i="28"/>
  <c r="AK8" i="28"/>
  <c r="AL8" i="28"/>
  <c r="AM8" i="28"/>
  <c r="AN8" i="28"/>
  <c r="AO8" i="28"/>
  <c r="AP8" i="28"/>
  <c r="AQ8" i="28"/>
  <c r="AR8" i="28"/>
  <c r="AS8" i="28"/>
  <c r="AT8" i="28"/>
  <c r="AU8" i="28"/>
  <c r="AV8" i="28"/>
  <c r="AW8" i="28"/>
  <c r="AX8" i="28"/>
  <c r="AY8" i="28"/>
  <c r="AZ8" i="28"/>
  <c r="BA8" i="28"/>
  <c r="BB8" i="28"/>
  <c r="BC8" i="28"/>
  <c r="BD8" i="28"/>
  <c r="BE8" i="28"/>
  <c r="BF8" i="28"/>
  <c r="BG8" i="28"/>
  <c r="BH8" i="28"/>
  <c r="BI8" i="28"/>
  <c r="BJ8" i="28"/>
  <c r="BK8" i="28"/>
  <c r="BL8" i="28"/>
  <c r="BM8" i="28"/>
  <c r="BN8" i="28"/>
  <c r="BO8" i="28"/>
  <c r="BP8" i="28"/>
  <c r="BQ8" i="28"/>
  <c r="BR8" i="28"/>
  <c r="BS8" i="28"/>
  <c r="BT8" i="28"/>
  <c r="BU8" i="28"/>
  <c r="BV8" i="28"/>
  <c r="BW8" i="28"/>
  <c r="BX8" i="28"/>
  <c r="BY8" i="28"/>
  <c r="BZ8" i="28"/>
  <c r="CA8" i="28"/>
  <c r="CB8" i="28"/>
  <c r="CC8" i="28"/>
  <c r="CD8" i="28"/>
  <c r="CE8" i="28"/>
  <c r="CF8" i="28"/>
  <c r="CG8" i="28"/>
  <c r="CH8" i="28"/>
  <c r="CI8" i="28"/>
  <c r="CJ8" i="28"/>
  <c r="CK8" i="28"/>
  <c r="CL8" i="28"/>
  <c r="CM8" i="28"/>
  <c r="CN8" i="28"/>
  <c r="CO8" i="28"/>
  <c r="CP8" i="28"/>
  <c r="CQ8" i="28"/>
  <c r="CR8" i="28"/>
  <c r="CS8" i="28"/>
  <c r="CT8" i="28"/>
  <c r="CU8" i="28"/>
  <c r="CV8" i="28"/>
  <c r="CW8" i="28"/>
  <c r="CX8" i="28"/>
  <c r="CY8" i="28"/>
  <c r="CZ8" i="28"/>
  <c r="DA8" i="28"/>
  <c r="DB8" i="28"/>
  <c r="DC8" i="28"/>
  <c r="DD8" i="28"/>
  <c r="DE8" i="28"/>
  <c r="DF8" i="28"/>
  <c r="DG8" i="28"/>
  <c r="DH8" i="28"/>
  <c r="DI8" i="28"/>
  <c r="DJ8" i="28"/>
  <c r="DK8" i="28"/>
  <c r="DL8" i="28"/>
  <c r="DM8" i="28"/>
  <c r="DN8" i="28"/>
  <c r="DO8" i="28"/>
  <c r="DP8" i="28"/>
  <c r="DQ8" i="28"/>
  <c r="DR8" i="28"/>
  <c r="DS8" i="28"/>
  <c r="DT8" i="28"/>
  <c r="DU8" i="28"/>
  <c r="DV8" i="28"/>
  <c r="DW8" i="28"/>
  <c r="DX8" i="28"/>
  <c r="DY8" i="28"/>
  <c r="DZ8" i="28"/>
  <c r="EA8" i="28"/>
  <c r="EB8" i="28"/>
  <c r="EC8" i="28"/>
  <c r="ED8" i="28"/>
  <c r="EE8" i="28"/>
  <c r="EF8" i="28"/>
  <c r="EG8" i="28"/>
  <c r="EH8" i="28"/>
  <c r="EI8" i="28"/>
  <c r="EJ8" i="28"/>
  <c r="EK8" i="28"/>
  <c r="EL8" i="28"/>
  <c r="EM8" i="28"/>
  <c r="EN8" i="28"/>
  <c r="EO8" i="28"/>
  <c r="EP8" i="28"/>
  <c r="EQ8" i="28"/>
  <c r="ER8" i="28"/>
  <c r="ES8" i="28"/>
  <c r="ET8" i="28"/>
  <c r="EU8" i="28"/>
  <c r="EV8" i="28"/>
  <c r="EW8" i="28"/>
  <c r="EX8" i="28"/>
  <c r="EY8" i="28"/>
  <c r="EZ8" i="28"/>
  <c r="FA8" i="28"/>
  <c r="FB8" i="28"/>
  <c r="FC8" i="28"/>
  <c r="FD8" i="28"/>
  <c r="FE8" i="28"/>
  <c r="FF8" i="28"/>
  <c r="FG8" i="28"/>
  <c r="FH8" i="28"/>
  <c r="FI8" i="28"/>
  <c r="FJ8" i="28"/>
  <c r="FK8" i="28"/>
  <c r="FL8" i="28"/>
  <c r="FM8" i="28"/>
  <c r="FN8" i="28"/>
  <c r="FO8" i="28"/>
  <c r="FP8" i="28"/>
  <c r="FQ8" i="28"/>
  <c r="FR8" i="28"/>
  <c r="FS8" i="28"/>
  <c r="FT8" i="28"/>
  <c r="FU8" i="28"/>
  <c r="FV8" i="28"/>
  <c r="FW8" i="28"/>
  <c r="FX8" i="28"/>
  <c r="FY8" i="28"/>
  <c r="FZ8" i="28"/>
  <c r="GA8" i="28"/>
  <c r="GB8" i="28"/>
  <c r="GC8" i="28"/>
  <c r="GD8" i="28"/>
  <c r="GE8" i="28"/>
  <c r="GF8" i="28"/>
  <c r="GG8" i="28"/>
  <c r="GH8" i="28"/>
  <c r="GI8" i="28"/>
  <c r="GJ8" i="28"/>
  <c r="GK8" i="28"/>
  <c r="GL8" i="28"/>
  <c r="GM8" i="28"/>
  <c r="GN8" i="28"/>
  <c r="GO8" i="28"/>
  <c r="GP8" i="28"/>
  <c r="GQ8" i="28"/>
  <c r="GR8" i="28"/>
  <c r="GS8" i="28"/>
  <c r="GT8" i="28"/>
  <c r="GU8" i="28"/>
  <c r="GV8" i="28"/>
  <c r="GW8" i="28"/>
  <c r="GX8" i="28"/>
  <c r="GY8" i="28"/>
  <c r="GZ8" i="28"/>
  <c r="HA8" i="28"/>
  <c r="HB8" i="28"/>
  <c r="HC8" i="28"/>
  <c r="HD8" i="28"/>
  <c r="HE8" i="28"/>
  <c r="HF8" i="28"/>
  <c r="HG8" i="28"/>
  <c r="HH8" i="28"/>
  <c r="HI8" i="28"/>
  <c r="HJ8" i="28"/>
  <c r="HK8" i="28"/>
  <c r="HL8" i="28"/>
  <c r="HM8" i="28"/>
  <c r="HN8" i="28"/>
  <c r="HO8" i="28"/>
  <c r="HP8" i="28"/>
  <c r="HQ8" i="28"/>
  <c r="HR8" i="28"/>
  <c r="HS8" i="28"/>
  <c r="HT8" i="28"/>
  <c r="HU8" i="28"/>
  <c r="HV8" i="28"/>
  <c r="HW8" i="28"/>
  <c r="HX8" i="28"/>
  <c r="HY8" i="28"/>
  <c r="HZ8" i="28"/>
  <c r="IA8" i="28"/>
  <c r="IB8" i="28"/>
  <c r="IC8" i="28"/>
  <c r="ID8" i="28"/>
  <c r="IE8" i="28"/>
  <c r="IF8" i="28"/>
  <c r="IG8" i="28"/>
  <c r="IH8" i="28"/>
  <c r="II8" i="28"/>
  <c r="IJ8" i="28"/>
  <c r="IK8" i="28"/>
  <c r="IL8" i="28"/>
  <c r="IM8" i="28"/>
  <c r="IN8" i="28"/>
  <c r="IO8" i="28"/>
  <c r="IP8" i="28"/>
  <c r="IQ8" i="28"/>
  <c r="IR8" i="28"/>
  <c r="IS8" i="28"/>
  <c r="IT8" i="28"/>
  <c r="IU8" i="28"/>
  <c r="IV8" i="28"/>
  <c r="A7" i="28"/>
  <c r="B7" i="28"/>
  <c r="C7" i="28"/>
  <c r="D7" i="28"/>
  <c r="E7" i="28"/>
  <c r="F7" i="28"/>
  <c r="G7" i="28"/>
  <c r="H7" i="28"/>
  <c r="I7" i="28"/>
  <c r="J7" i="28"/>
  <c r="K7" i="28"/>
  <c r="L7" i="28"/>
  <c r="M7" i="28"/>
  <c r="N7" i="28"/>
  <c r="O7" i="28"/>
  <c r="P7" i="28"/>
  <c r="Q7" i="28"/>
  <c r="R7" i="28"/>
  <c r="S7" i="28"/>
  <c r="T7" i="28"/>
  <c r="U7" i="28"/>
  <c r="V7" i="28"/>
  <c r="W7" i="28"/>
  <c r="X7" i="28"/>
  <c r="Y7" i="28"/>
  <c r="Z7" i="28"/>
  <c r="AA7" i="28"/>
  <c r="AB7" i="28"/>
  <c r="AC7" i="28"/>
  <c r="AD7" i="28"/>
  <c r="AE7" i="28"/>
  <c r="AF7" i="28"/>
  <c r="AG7" i="28"/>
  <c r="AH7" i="28"/>
  <c r="AI7" i="28"/>
  <c r="AJ7" i="28"/>
  <c r="AK7" i="28"/>
  <c r="AL7" i="28"/>
  <c r="AM7" i="28"/>
  <c r="AN7" i="28"/>
  <c r="AO7" i="28"/>
  <c r="AP7" i="28"/>
  <c r="AQ7" i="28"/>
  <c r="AR7" i="28"/>
  <c r="AS7" i="28"/>
  <c r="AT7" i="28"/>
  <c r="AU7" i="28"/>
  <c r="AV7" i="28"/>
  <c r="AW7" i="28"/>
  <c r="AX7" i="28"/>
  <c r="AY7" i="28"/>
  <c r="AZ7" i="28"/>
  <c r="BA7" i="28"/>
  <c r="BB7" i="28"/>
  <c r="BC7" i="28"/>
  <c r="BD7" i="28"/>
  <c r="BE7" i="28"/>
  <c r="BF7" i="28"/>
  <c r="BG7" i="28"/>
  <c r="BH7" i="28"/>
  <c r="BI7" i="28"/>
  <c r="BJ7" i="28"/>
  <c r="BK7" i="28"/>
  <c r="BL7" i="28"/>
  <c r="BM7" i="28"/>
  <c r="BN7" i="28"/>
  <c r="BO7" i="28"/>
  <c r="BP7" i="28"/>
  <c r="BQ7" i="28"/>
  <c r="BR7" i="28"/>
  <c r="BS7" i="28"/>
  <c r="BT7" i="28"/>
  <c r="BU7" i="28"/>
  <c r="BV7" i="28"/>
  <c r="BW7" i="28"/>
  <c r="BX7" i="28"/>
  <c r="BY7" i="28"/>
  <c r="BZ7" i="28"/>
  <c r="CA7" i="28"/>
  <c r="CB7" i="28"/>
  <c r="CC7" i="28"/>
  <c r="CD7" i="28"/>
  <c r="CE7" i="28"/>
  <c r="CF7" i="28"/>
  <c r="CG7" i="28"/>
  <c r="CH7" i="28"/>
  <c r="CI7" i="28"/>
  <c r="CJ7" i="28"/>
  <c r="CK7" i="28"/>
  <c r="CL7" i="28"/>
  <c r="CM7" i="28"/>
  <c r="CN7" i="28"/>
  <c r="CO7" i="28"/>
  <c r="CP7" i="28"/>
  <c r="CQ7" i="28"/>
  <c r="CR7" i="28"/>
  <c r="CS7" i="28"/>
  <c r="CT7" i="28"/>
  <c r="CU7" i="28"/>
  <c r="CV7" i="28"/>
  <c r="CW7" i="28"/>
  <c r="CX7" i="28"/>
  <c r="CY7" i="28"/>
  <c r="CZ7" i="28"/>
  <c r="DA7" i="28"/>
  <c r="DB7" i="28"/>
  <c r="DC7" i="28"/>
  <c r="DD7" i="28"/>
  <c r="DE7" i="28"/>
  <c r="DF7" i="28"/>
  <c r="DG7" i="28"/>
  <c r="DH7" i="28"/>
  <c r="DI7" i="28"/>
  <c r="DJ7" i="28"/>
  <c r="DK7" i="28"/>
  <c r="DL7" i="28"/>
  <c r="DM7" i="28"/>
  <c r="DN7" i="28"/>
  <c r="DO7" i="28"/>
  <c r="DP7" i="28"/>
  <c r="DQ7" i="28"/>
  <c r="DR7" i="28"/>
  <c r="DS7" i="28"/>
  <c r="DT7" i="28"/>
  <c r="DU7" i="28"/>
  <c r="DV7" i="28"/>
  <c r="DW7" i="28"/>
  <c r="DX7" i="28"/>
  <c r="DY7" i="28"/>
  <c r="DZ7" i="28"/>
  <c r="EA7" i="28"/>
  <c r="EB7" i="28"/>
  <c r="EC7" i="28"/>
  <c r="ED7" i="28"/>
  <c r="EE7" i="28"/>
  <c r="EF7" i="28"/>
  <c r="EG7" i="28"/>
  <c r="EH7" i="28"/>
  <c r="EI7" i="28"/>
  <c r="EJ7" i="28"/>
  <c r="EK7" i="28"/>
  <c r="EL7" i="28"/>
  <c r="EM7" i="28"/>
  <c r="EN7" i="28"/>
  <c r="EO7" i="28"/>
  <c r="EP7" i="28"/>
  <c r="EQ7" i="28"/>
  <c r="ER7" i="28"/>
  <c r="ES7" i="28"/>
  <c r="ET7" i="28"/>
  <c r="EU7" i="28"/>
  <c r="EV7" i="28"/>
  <c r="EW7" i="28"/>
  <c r="EX7" i="28"/>
  <c r="EY7" i="28"/>
  <c r="EZ7" i="28"/>
  <c r="FA7" i="28"/>
  <c r="FB7" i="28"/>
  <c r="FC7" i="28"/>
  <c r="FD7" i="28"/>
  <c r="FE7" i="28"/>
  <c r="FF7" i="28"/>
  <c r="FG7" i="28"/>
  <c r="FH7" i="28"/>
  <c r="FI7" i="28"/>
  <c r="FJ7" i="28"/>
  <c r="FK7" i="28"/>
  <c r="FL7" i="28"/>
  <c r="FM7" i="28"/>
  <c r="FN7" i="28"/>
  <c r="FO7" i="28"/>
  <c r="FP7" i="28"/>
  <c r="FQ7" i="28"/>
  <c r="FR7" i="28"/>
  <c r="FS7" i="28"/>
  <c r="FT7" i="28"/>
  <c r="FU7" i="28"/>
  <c r="FV7" i="28"/>
  <c r="FW7" i="28"/>
  <c r="FX7" i="28"/>
  <c r="FY7" i="28"/>
  <c r="FZ7" i="28"/>
  <c r="GA7" i="28"/>
  <c r="GB7" i="28"/>
  <c r="GC7" i="28"/>
  <c r="GD7" i="28"/>
  <c r="GE7" i="28"/>
  <c r="GF7" i="28"/>
  <c r="GG7" i="28"/>
  <c r="GH7" i="28"/>
  <c r="GI7" i="28"/>
  <c r="GJ7" i="28"/>
  <c r="GK7" i="28"/>
  <c r="GL7" i="28"/>
  <c r="GM7" i="28"/>
  <c r="GN7" i="28"/>
  <c r="GO7" i="28"/>
  <c r="GP7" i="28"/>
  <c r="GQ7" i="28"/>
  <c r="GR7" i="28"/>
  <c r="GS7" i="28"/>
  <c r="GT7" i="28"/>
  <c r="GU7" i="28"/>
  <c r="GV7" i="28"/>
  <c r="GW7" i="28"/>
  <c r="GX7" i="28"/>
  <c r="GY7" i="28"/>
  <c r="GZ7" i="28"/>
  <c r="HA7" i="28"/>
  <c r="HB7" i="28"/>
  <c r="HC7" i="28"/>
  <c r="HD7" i="28"/>
  <c r="HE7" i="28"/>
  <c r="HF7" i="28"/>
  <c r="HG7" i="28"/>
  <c r="HH7" i="28"/>
  <c r="HI7" i="28"/>
  <c r="HJ7" i="28"/>
  <c r="HK7" i="28"/>
  <c r="HL7" i="28"/>
  <c r="HM7" i="28"/>
  <c r="HN7" i="28"/>
  <c r="HO7" i="28"/>
  <c r="HP7" i="28"/>
  <c r="HQ7" i="28"/>
  <c r="HR7" i="28"/>
  <c r="HS7" i="28"/>
  <c r="HT7" i="28"/>
  <c r="HU7" i="28"/>
  <c r="HV7" i="28"/>
  <c r="HW7" i="28"/>
  <c r="HX7" i="28"/>
  <c r="HY7" i="28"/>
  <c r="HZ7" i="28"/>
  <c r="IA7" i="28"/>
  <c r="IB7" i="28"/>
  <c r="IC7" i="28"/>
  <c r="ID7" i="28"/>
  <c r="IE7" i="28"/>
  <c r="IF7" i="28"/>
  <c r="IG7" i="28"/>
  <c r="IH7" i="28"/>
  <c r="II7" i="28"/>
  <c r="IJ7" i="28"/>
  <c r="IK7" i="28"/>
  <c r="IL7" i="28"/>
  <c r="IM7" i="28"/>
  <c r="IN7" i="28"/>
  <c r="IO7" i="28"/>
  <c r="IP7" i="28"/>
  <c r="IQ7" i="28"/>
  <c r="IR7" i="28"/>
  <c r="IS7" i="28"/>
  <c r="IT7" i="28"/>
  <c r="IU7" i="28"/>
  <c r="IV7" i="28"/>
  <c r="A6" i="28"/>
  <c r="B6" i="28"/>
  <c r="C6" i="28"/>
  <c r="D6" i="28"/>
  <c r="E6" i="28"/>
  <c r="F6" i="28"/>
  <c r="G6" i="28"/>
  <c r="H6" i="28"/>
  <c r="I6" i="28"/>
  <c r="J6" i="28"/>
  <c r="K6" i="28"/>
  <c r="L6" i="28"/>
  <c r="M6" i="28"/>
  <c r="N6" i="28"/>
  <c r="O6" i="28"/>
  <c r="P6" i="28"/>
  <c r="Q6" i="28"/>
  <c r="R6" i="28"/>
  <c r="S6" i="28"/>
  <c r="T6" i="28"/>
  <c r="U6" i="28"/>
  <c r="V6" i="28"/>
  <c r="W6" i="28"/>
  <c r="X6" i="28"/>
  <c r="Y6" i="28"/>
  <c r="Z6" i="28"/>
  <c r="AA6" i="28"/>
  <c r="AB6" i="28"/>
  <c r="AC6" i="28"/>
  <c r="AD6" i="28"/>
  <c r="AE6" i="28"/>
  <c r="AF6" i="28"/>
  <c r="AG6" i="28"/>
  <c r="AH6" i="28"/>
  <c r="AI6" i="28"/>
  <c r="AJ6" i="28"/>
  <c r="AK6" i="28"/>
  <c r="AL6" i="28"/>
  <c r="AM6" i="28"/>
  <c r="AN6" i="28"/>
  <c r="AO6" i="28"/>
  <c r="AP6" i="28"/>
  <c r="AQ6" i="28"/>
  <c r="AR6" i="28"/>
  <c r="AS6" i="28"/>
  <c r="AT6" i="28"/>
  <c r="AU6" i="28"/>
  <c r="AV6" i="28"/>
  <c r="AW6" i="28"/>
  <c r="AX6" i="28"/>
  <c r="AY6" i="28"/>
  <c r="AZ6" i="28"/>
  <c r="BA6" i="28"/>
  <c r="BB6" i="28"/>
  <c r="BC6" i="28"/>
  <c r="BD6" i="28"/>
  <c r="BE6" i="28"/>
  <c r="BF6" i="28"/>
  <c r="BG6" i="28"/>
  <c r="BH6" i="28"/>
  <c r="BI6" i="28"/>
  <c r="BJ6" i="28"/>
  <c r="BK6" i="28"/>
  <c r="BL6" i="28"/>
  <c r="BM6" i="28"/>
  <c r="BN6" i="28"/>
  <c r="BO6" i="28"/>
  <c r="BP6" i="28"/>
  <c r="BQ6" i="28"/>
  <c r="BR6" i="28"/>
  <c r="BS6" i="28"/>
  <c r="BT6" i="28"/>
  <c r="BU6" i="28"/>
  <c r="BV6" i="28"/>
  <c r="BW6" i="28"/>
  <c r="BX6" i="28"/>
  <c r="BY6" i="28"/>
  <c r="BZ6" i="28"/>
  <c r="CA6" i="28"/>
  <c r="CB6" i="28"/>
  <c r="CC6" i="28"/>
  <c r="CD6" i="28"/>
  <c r="CE6" i="28"/>
  <c r="CF6" i="28"/>
  <c r="CG6" i="28"/>
  <c r="CH6" i="28"/>
  <c r="CI6" i="28"/>
  <c r="CJ6" i="28"/>
  <c r="CK6" i="28"/>
  <c r="CL6" i="28"/>
  <c r="CM6" i="28"/>
  <c r="CN6" i="28"/>
  <c r="CO6" i="28"/>
  <c r="CP6" i="28"/>
  <c r="CQ6" i="28"/>
  <c r="CR6" i="28"/>
  <c r="CS6" i="28"/>
  <c r="CT6" i="28"/>
  <c r="CU6" i="28"/>
  <c r="CV6" i="28"/>
  <c r="CW6" i="28"/>
  <c r="CX6" i="28"/>
  <c r="CY6" i="28"/>
  <c r="CZ6" i="28"/>
  <c r="DA6" i="28"/>
  <c r="DB6" i="28"/>
  <c r="DC6" i="28"/>
  <c r="DD6" i="28"/>
  <c r="DE6" i="28"/>
  <c r="DF6" i="28"/>
  <c r="DG6" i="28"/>
  <c r="DH6" i="28"/>
  <c r="DI6" i="28"/>
  <c r="DJ6" i="28"/>
  <c r="DK6" i="28"/>
  <c r="DL6" i="28"/>
  <c r="DM6" i="28"/>
  <c r="DN6" i="28"/>
  <c r="DO6" i="28"/>
  <c r="DP6" i="28"/>
  <c r="DQ6" i="28"/>
  <c r="DR6" i="28"/>
  <c r="DS6" i="28"/>
  <c r="DT6" i="28"/>
  <c r="DU6" i="28"/>
  <c r="DV6" i="28"/>
  <c r="DW6" i="28"/>
  <c r="DX6" i="28"/>
  <c r="DY6" i="28"/>
  <c r="DZ6" i="28"/>
  <c r="EA6" i="28"/>
  <c r="EB6" i="28"/>
  <c r="EC6" i="28"/>
  <c r="ED6" i="28"/>
  <c r="EE6" i="28"/>
  <c r="EF6" i="28"/>
  <c r="EG6" i="28"/>
  <c r="EH6" i="28"/>
  <c r="EI6" i="28"/>
  <c r="EJ6" i="28"/>
  <c r="EK6" i="28"/>
  <c r="EL6" i="28"/>
  <c r="EM6" i="28"/>
  <c r="EN6" i="28"/>
  <c r="EO6" i="28"/>
  <c r="EP6" i="28"/>
  <c r="EQ6" i="28"/>
  <c r="ER6" i="28"/>
  <c r="ES6" i="28"/>
  <c r="ET6" i="28"/>
  <c r="EU6" i="28"/>
  <c r="EV6" i="28"/>
  <c r="EW6" i="28"/>
  <c r="EX6" i="28"/>
  <c r="EY6" i="28"/>
  <c r="EZ6" i="28"/>
  <c r="FA6" i="28"/>
  <c r="FB6" i="28"/>
  <c r="FC6" i="28"/>
  <c r="FD6" i="28"/>
  <c r="FE6" i="28"/>
  <c r="FF6" i="28"/>
  <c r="FG6" i="28"/>
  <c r="FH6" i="28"/>
  <c r="FI6" i="28"/>
  <c r="FJ6" i="28"/>
  <c r="FK6" i="28"/>
  <c r="FL6" i="28"/>
  <c r="FM6" i="28"/>
  <c r="FN6" i="28"/>
  <c r="FO6" i="28"/>
  <c r="FP6" i="28"/>
  <c r="FQ6" i="28"/>
  <c r="FR6" i="28"/>
  <c r="FS6" i="28"/>
  <c r="FT6" i="28"/>
  <c r="FU6" i="28"/>
  <c r="FV6" i="28"/>
  <c r="FW6" i="28"/>
  <c r="FX6" i="28"/>
  <c r="FY6" i="28"/>
  <c r="FZ6" i="28"/>
  <c r="GA6" i="28"/>
  <c r="GB6" i="28"/>
  <c r="GC6" i="28"/>
  <c r="GD6" i="28"/>
  <c r="GE6" i="28"/>
  <c r="GF6" i="28"/>
  <c r="GG6" i="28"/>
  <c r="GH6" i="28"/>
  <c r="GI6" i="28"/>
  <c r="GJ6" i="28"/>
  <c r="GK6" i="28"/>
  <c r="GL6" i="28"/>
  <c r="GM6" i="28"/>
  <c r="GN6" i="28"/>
  <c r="GO6" i="28"/>
  <c r="GP6" i="28"/>
  <c r="GQ6" i="28"/>
  <c r="GR6" i="28"/>
  <c r="GS6" i="28"/>
  <c r="GT6" i="28"/>
  <c r="GU6" i="28"/>
  <c r="GV6" i="28"/>
  <c r="GW6" i="28"/>
  <c r="GX6" i="28"/>
  <c r="GY6" i="28"/>
  <c r="GZ6" i="28"/>
  <c r="HA6" i="28"/>
  <c r="HB6" i="28"/>
  <c r="HC6" i="28"/>
  <c r="HD6" i="28"/>
  <c r="HE6" i="28"/>
  <c r="HF6" i="28"/>
  <c r="HG6" i="28"/>
  <c r="HH6" i="28"/>
  <c r="HI6" i="28"/>
  <c r="HJ6" i="28"/>
  <c r="HK6" i="28"/>
  <c r="HL6" i="28"/>
  <c r="HM6" i="28"/>
  <c r="HN6" i="28"/>
  <c r="HO6" i="28"/>
  <c r="HP6" i="28"/>
  <c r="HQ6" i="28"/>
  <c r="HR6" i="28"/>
  <c r="HS6" i="28"/>
  <c r="HT6" i="28"/>
  <c r="HU6" i="28"/>
  <c r="HV6" i="28"/>
  <c r="HW6" i="28"/>
  <c r="HX6" i="28"/>
  <c r="HY6" i="28"/>
  <c r="HZ6" i="28"/>
  <c r="IA6" i="28"/>
  <c r="IB6" i="28"/>
  <c r="IC6" i="28"/>
  <c r="ID6" i="28"/>
  <c r="IE6" i="28"/>
  <c r="IF6" i="28"/>
  <c r="IG6" i="28"/>
  <c r="IH6" i="28"/>
  <c r="II6" i="28"/>
  <c r="IJ6" i="28"/>
  <c r="IK6" i="28"/>
  <c r="IL6" i="28"/>
  <c r="IM6" i="28"/>
  <c r="IN6" i="28"/>
  <c r="IO6" i="28"/>
  <c r="IP6" i="28"/>
  <c r="IQ6" i="28"/>
  <c r="IR6" i="28"/>
  <c r="IS6" i="28"/>
  <c r="IT6" i="28"/>
  <c r="IU6" i="28"/>
  <c r="IV6" i="28"/>
  <c r="A5" i="28"/>
  <c r="B5" i="28"/>
  <c r="C5" i="28"/>
  <c r="D5" i="28"/>
  <c r="E5" i="28"/>
  <c r="F5" i="28"/>
  <c r="G5" i="28"/>
  <c r="H5" i="28"/>
  <c r="I5" i="28"/>
  <c r="J5" i="28"/>
  <c r="K5" i="28"/>
  <c r="L5" i="28"/>
  <c r="M5" i="28"/>
  <c r="N5" i="28"/>
  <c r="O5" i="28"/>
  <c r="P5" i="28"/>
  <c r="Q5" i="28"/>
  <c r="R5" i="28"/>
  <c r="S5" i="28"/>
  <c r="T5" i="28"/>
  <c r="U5" i="28"/>
  <c r="V5" i="28"/>
  <c r="W5" i="28"/>
  <c r="X5" i="28"/>
  <c r="Y5" i="28"/>
  <c r="Z5" i="28"/>
  <c r="AA5" i="28"/>
  <c r="AB5" i="28"/>
  <c r="AC5" i="28"/>
  <c r="AD5" i="28"/>
  <c r="AE5" i="28"/>
  <c r="AF5" i="28"/>
  <c r="AG5" i="28"/>
  <c r="AH5" i="28"/>
  <c r="AI5" i="28"/>
  <c r="AJ5" i="28"/>
  <c r="AK5" i="28"/>
  <c r="AL5" i="28"/>
  <c r="AM5" i="28"/>
  <c r="AN5" i="28"/>
  <c r="AO5" i="28"/>
  <c r="AP5" i="28"/>
  <c r="AQ5" i="28"/>
  <c r="AR5" i="28"/>
  <c r="AS5" i="28"/>
  <c r="AT5" i="28"/>
  <c r="AU5" i="28"/>
  <c r="AV5" i="28"/>
  <c r="AW5" i="28"/>
  <c r="AX5" i="28"/>
  <c r="AY5" i="28"/>
  <c r="AZ5" i="28"/>
  <c r="BA5" i="28"/>
  <c r="BB5" i="28"/>
  <c r="BC5" i="28"/>
  <c r="BD5" i="28"/>
  <c r="BE5" i="28"/>
  <c r="BF5" i="28"/>
  <c r="BG5" i="28"/>
  <c r="BH5" i="28"/>
  <c r="BI5" i="28"/>
  <c r="BJ5" i="28"/>
  <c r="BK5" i="28"/>
  <c r="BL5" i="28"/>
  <c r="BM5" i="28"/>
  <c r="BN5" i="28"/>
  <c r="BO5" i="28"/>
  <c r="BP5" i="28"/>
  <c r="BQ5" i="28"/>
  <c r="BR5" i="28"/>
  <c r="BS5" i="28"/>
  <c r="BT5" i="28"/>
  <c r="BU5" i="28"/>
  <c r="BV5" i="28"/>
  <c r="BW5" i="28"/>
  <c r="BX5" i="28"/>
  <c r="BY5" i="28"/>
  <c r="BZ5" i="28"/>
  <c r="CA5" i="28"/>
  <c r="CB5" i="28"/>
  <c r="CC5" i="28"/>
  <c r="CD5" i="28"/>
  <c r="CE5" i="28"/>
  <c r="CF5" i="28"/>
  <c r="CG5" i="28"/>
  <c r="CH5" i="28"/>
  <c r="CI5" i="28"/>
  <c r="CJ5" i="28"/>
  <c r="CK5" i="28"/>
  <c r="CL5" i="28"/>
  <c r="CM5" i="28"/>
  <c r="CN5" i="28"/>
  <c r="CO5" i="28"/>
  <c r="CP5" i="28"/>
  <c r="CQ5" i="28"/>
  <c r="CR5" i="28"/>
  <c r="CS5" i="28"/>
  <c r="CT5" i="28"/>
  <c r="CU5" i="28"/>
  <c r="CV5" i="28"/>
  <c r="CW5" i="28"/>
  <c r="CX5" i="28"/>
  <c r="CY5" i="28"/>
  <c r="CZ5" i="28"/>
  <c r="DA5" i="28"/>
  <c r="DB5" i="28"/>
  <c r="DC5" i="28"/>
  <c r="DD5" i="28"/>
  <c r="DE5" i="28"/>
  <c r="DF5" i="28"/>
  <c r="DG5" i="28"/>
  <c r="DH5" i="28"/>
  <c r="DI5" i="28"/>
  <c r="DJ5" i="28"/>
  <c r="DK5" i="28"/>
  <c r="DL5" i="28"/>
  <c r="DM5" i="28"/>
  <c r="DN5" i="28"/>
  <c r="DO5" i="28"/>
  <c r="DP5" i="28"/>
  <c r="DQ5" i="28"/>
  <c r="DR5" i="28"/>
  <c r="DS5" i="28"/>
  <c r="DT5" i="28"/>
  <c r="DU5" i="28"/>
  <c r="DV5" i="28"/>
  <c r="DW5" i="28"/>
  <c r="DX5" i="28"/>
  <c r="DY5" i="28"/>
  <c r="DZ5" i="28"/>
  <c r="EA5" i="28"/>
  <c r="EB5" i="28"/>
  <c r="EC5" i="28"/>
  <c r="ED5" i="28"/>
  <c r="EE5" i="28"/>
  <c r="EF5" i="28"/>
  <c r="EG5" i="28"/>
  <c r="EH5" i="28"/>
  <c r="EI5" i="28"/>
  <c r="EJ5" i="28"/>
  <c r="EK5" i="28"/>
  <c r="EL5" i="28"/>
  <c r="EM5" i="28"/>
  <c r="EN5" i="28"/>
  <c r="EO5" i="28"/>
  <c r="EP5" i="28"/>
  <c r="EQ5" i="28"/>
  <c r="ER5" i="28"/>
  <c r="ES5" i="28"/>
  <c r="ET5" i="28"/>
  <c r="EU5" i="28"/>
  <c r="EV5" i="28"/>
  <c r="EW5" i="28"/>
  <c r="EX5" i="28"/>
  <c r="EY5" i="28"/>
  <c r="EZ5" i="28"/>
  <c r="FA5" i="28"/>
  <c r="FB5" i="28"/>
  <c r="FC5" i="28"/>
  <c r="FD5" i="28"/>
  <c r="FE5" i="28"/>
  <c r="FF5" i="28"/>
  <c r="FG5" i="28"/>
  <c r="FH5" i="28"/>
  <c r="FI5" i="28"/>
  <c r="FJ5" i="28"/>
  <c r="FK5" i="28"/>
  <c r="FL5" i="28"/>
  <c r="FM5" i="28"/>
  <c r="FN5" i="28"/>
  <c r="FO5" i="28"/>
  <c r="FP5" i="28"/>
  <c r="FQ5" i="28"/>
  <c r="FR5" i="28"/>
  <c r="FS5" i="28"/>
  <c r="FT5" i="28"/>
  <c r="FU5" i="28"/>
  <c r="FV5" i="28"/>
  <c r="FW5" i="28"/>
  <c r="FX5" i="28"/>
  <c r="FY5" i="28"/>
  <c r="FZ5" i="28"/>
  <c r="GA5" i="28"/>
  <c r="GB5" i="28"/>
  <c r="GC5" i="28"/>
  <c r="GD5" i="28"/>
  <c r="GE5" i="28"/>
  <c r="GF5" i="28"/>
  <c r="GG5" i="28"/>
  <c r="GH5" i="28"/>
  <c r="GI5" i="28"/>
  <c r="GJ5" i="28"/>
  <c r="GK5" i="28"/>
  <c r="GL5" i="28"/>
  <c r="GM5" i="28"/>
  <c r="GN5" i="28"/>
  <c r="GO5" i="28"/>
  <c r="GP5" i="28"/>
  <c r="GQ5" i="28"/>
  <c r="GR5" i="28"/>
  <c r="GS5" i="28"/>
  <c r="GT5" i="28"/>
  <c r="GU5" i="28"/>
  <c r="GV5" i="28"/>
  <c r="GW5" i="28"/>
  <c r="GX5" i="28"/>
  <c r="GY5" i="28"/>
  <c r="GZ5" i="28"/>
  <c r="HA5" i="28"/>
  <c r="HB5" i="28"/>
  <c r="HC5" i="28"/>
  <c r="HD5" i="28"/>
  <c r="HE5" i="28"/>
  <c r="HF5" i="28"/>
  <c r="HG5" i="28"/>
  <c r="HH5" i="28"/>
  <c r="HI5" i="28"/>
  <c r="HJ5" i="28"/>
  <c r="HK5" i="28"/>
  <c r="HL5" i="28"/>
  <c r="HM5" i="28"/>
  <c r="HN5" i="28"/>
  <c r="HO5" i="28"/>
  <c r="HP5" i="28"/>
  <c r="HQ5" i="28"/>
  <c r="HR5" i="28"/>
  <c r="HS5" i="28"/>
  <c r="HT5" i="28"/>
  <c r="HU5" i="28"/>
  <c r="HV5" i="28"/>
  <c r="HW5" i="28"/>
  <c r="HX5" i="28"/>
  <c r="HY5" i="28"/>
  <c r="HZ5" i="28"/>
  <c r="IA5" i="28"/>
  <c r="IB5" i="28"/>
  <c r="IC5" i="28"/>
  <c r="ID5" i="28"/>
  <c r="IE5" i="28"/>
  <c r="IF5" i="28"/>
  <c r="IG5" i="28"/>
  <c r="IH5" i="28"/>
  <c r="II5" i="28"/>
  <c r="IJ5" i="28"/>
  <c r="IK5" i="28"/>
  <c r="IL5" i="28"/>
  <c r="IM5" i="28"/>
  <c r="IN5" i="28"/>
  <c r="IO5" i="28"/>
  <c r="IP5" i="28"/>
  <c r="IQ5" i="28"/>
  <c r="IR5" i="28"/>
  <c r="IS5" i="28"/>
  <c r="IT5" i="28"/>
  <c r="IU5" i="28"/>
  <c r="IV5" i="28"/>
  <c r="A4" i="28"/>
  <c r="B4" i="28"/>
  <c r="C4" i="28"/>
  <c r="D4" i="28"/>
  <c r="E4" i="28"/>
  <c r="F4" i="28"/>
  <c r="G4" i="28"/>
  <c r="H4" i="28"/>
  <c r="I4" i="28"/>
  <c r="J4" i="28"/>
  <c r="K4" i="28"/>
  <c r="L4" i="28"/>
  <c r="M4" i="28"/>
  <c r="N4" i="28"/>
  <c r="O4" i="28"/>
  <c r="P4" i="28"/>
  <c r="Q4" i="28"/>
  <c r="R4" i="28"/>
  <c r="S4" i="28"/>
  <c r="T4" i="28"/>
  <c r="U4" i="28"/>
  <c r="V4" i="28"/>
  <c r="W4" i="28"/>
  <c r="X4" i="28"/>
  <c r="Y4" i="28"/>
  <c r="Z4" i="28"/>
  <c r="AA4" i="28"/>
  <c r="AB4" i="28"/>
  <c r="AC4" i="28"/>
  <c r="AD4" i="28"/>
  <c r="AE4" i="28"/>
  <c r="AF4" i="28"/>
  <c r="AG4" i="28"/>
  <c r="AH4" i="28"/>
  <c r="AI4" i="28"/>
  <c r="AJ4" i="28"/>
  <c r="AK4" i="28"/>
  <c r="AL4" i="28"/>
  <c r="AM4" i="28"/>
  <c r="AN4" i="28"/>
  <c r="AO4" i="28"/>
  <c r="AP4" i="28"/>
  <c r="AQ4" i="28"/>
  <c r="AR4" i="28"/>
  <c r="AS4" i="28"/>
  <c r="AT4" i="28"/>
  <c r="AU4" i="28"/>
  <c r="AV4" i="28"/>
  <c r="AW4" i="28"/>
  <c r="AX4" i="28"/>
  <c r="AY4" i="28"/>
  <c r="AZ4" i="28"/>
  <c r="BA4" i="28"/>
  <c r="BB4" i="28"/>
  <c r="BC4" i="28"/>
  <c r="BD4" i="28"/>
  <c r="BE4" i="28"/>
  <c r="BF4" i="28"/>
  <c r="BG4" i="28"/>
  <c r="BH4" i="28"/>
  <c r="BI4" i="28"/>
  <c r="BJ4" i="28"/>
  <c r="BK4" i="28"/>
  <c r="BL4" i="28"/>
  <c r="BM4" i="28"/>
  <c r="BN4" i="28"/>
  <c r="BO4" i="28"/>
  <c r="BP4" i="28"/>
  <c r="BQ4" i="28"/>
  <c r="BR4" i="28"/>
  <c r="BS4" i="28"/>
  <c r="BT4" i="28"/>
  <c r="BU4" i="28"/>
  <c r="BV4" i="28"/>
  <c r="BW4" i="28"/>
  <c r="BX4" i="28"/>
  <c r="BY4" i="28"/>
  <c r="BZ4" i="28"/>
  <c r="CA4" i="28"/>
  <c r="CB4" i="28"/>
  <c r="CC4" i="28"/>
  <c r="CD4" i="28"/>
  <c r="CE4" i="28"/>
  <c r="CF4" i="28"/>
  <c r="CG4" i="28"/>
  <c r="CH4" i="28"/>
  <c r="CI4" i="28"/>
  <c r="CJ4" i="28"/>
  <c r="CK4" i="28"/>
  <c r="CL4" i="28"/>
  <c r="CM4" i="28"/>
  <c r="CN4" i="28"/>
  <c r="CO4" i="28"/>
  <c r="CP4" i="28"/>
  <c r="CQ4" i="28"/>
  <c r="CR4" i="28"/>
  <c r="CS4" i="28"/>
  <c r="CT4" i="28"/>
  <c r="CU4" i="28"/>
  <c r="CV4" i="28"/>
  <c r="CW4" i="28"/>
  <c r="CX4" i="28"/>
  <c r="CY4" i="28"/>
  <c r="CZ4" i="28"/>
  <c r="DA4" i="28"/>
  <c r="DB4" i="28"/>
  <c r="DC4" i="28"/>
  <c r="DD4" i="28"/>
  <c r="DE4" i="28"/>
  <c r="DF4" i="28"/>
  <c r="DG4" i="28"/>
  <c r="DH4" i="28"/>
  <c r="DI4" i="28"/>
  <c r="DJ4" i="28"/>
  <c r="DK4" i="28"/>
  <c r="DL4" i="28"/>
  <c r="DM4" i="28"/>
  <c r="DN4" i="28"/>
  <c r="DO4" i="28"/>
  <c r="DP4" i="28"/>
  <c r="DQ4" i="28"/>
  <c r="DR4" i="28"/>
  <c r="DS4" i="28"/>
  <c r="DT4" i="28"/>
  <c r="DU4" i="28"/>
  <c r="DV4" i="28"/>
  <c r="DW4" i="28"/>
  <c r="DX4" i="28"/>
  <c r="DY4" i="28"/>
  <c r="DZ4" i="28"/>
  <c r="EA4" i="28"/>
  <c r="EB4" i="28"/>
  <c r="EC4" i="28"/>
  <c r="ED4" i="28"/>
  <c r="EE4" i="28"/>
  <c r="EF4" i="28"/>
  <c r="EG4" i="28"/>
  <c r="EH4" i="28"/>
  <c r="EI4" i="28"/>
  <c r="EJ4" i="28"/>
  <c r="EK4" i="28"/>
  <c r="EL4" i="28"/>
  <c r="EM4" i="28"/>
  <c r="EN4" i="28"/>
  <c r="EO4" i="28"/>
  <c r="EP4" i="28"/>
  <c r="EQ4" i="28"/>
  <c r="ER4" i="28"/>
  <c r="ES4" i="28"/>
  <c r="ET4" i="28"/>
  <c r="EU4" i="28"/>
  <c r="EV4" i="28"/>
  <c r="EW4" i="28"/>
  <c r="EX4" i="28"/>
  <c r="EY4" i="28"/>
  <c r="EZ4" i="28"/>
  <c r="FA4" i="28"/>
  <c r="FB4" i="28"/>
  <c r="FC4" i="28"/>
  <c r="FD4" i="28"/>
  <c r="FE4" i="28"/>
  <c r="FF4" i="28"/>
  <c r="FG4" i="28"/>
  <c r="FH4" i="28"/>
  <c r="FI4" i="28"/>
  <c r="FJ4" i="28"/>
  <c r="FK4" i="28"/>
  <c r="FL4" i="28"/>
  <c r="FM4" i="28"/>
  <c r="FN4" i="28"/>
  <c r="FO4" i="28"/>
  <c r="FP4" i="28"/>
  <c r="FQ4" i="28"/>
  <c r="FR4" i="28"/>
  <c r="FS4" i="28"/>
  <c r="FT4" i="28"/>
  <c r="FU4" i="28"/>
  <c r="FV4" i="28"/>
  <c r="FW4" i="28"/>
  <c r="FX4" i="28"/>
  <c r="FY4" i="28"/>
  <c r="FZ4" i="28"/>
  <c r="GA4" i="28"/>
  <c r="GB4" i="28"/>
  <c r="GC4" i="28"/>
  <c r="GD4" i="28"/>
  <c r="GE4" i="28"/>
  <c r="GF4" i="28"/>
  <c r="GG4" i="28"/>
  <c r="GH4" i="28"/>
  <c r="GI4" i="28"/>
  <c r="GJ4" i="28"/>
  <c r="GK4" i="28"/>
  <c r="GL4" i="28"/>
  <c r="GM4" i="28"/>
  <c r="GN4" i="28"/>
  <c r="GO4" i="28"/>
  <c r="GP4" i="28"/>
  <c r="GQ4" i="28"/>
  <c r="GR4" i="28"/>
  <c r="GS4" i="28"/>
  <c r="GT4" i="28"/>
  <c r="GU4" i="28"/>
  <c r="GV4" i="28"/>
  <c r="GW4" i="28"/>
  <c r="GX4" i="28"/>
  <c r="GY4" i="28"/>
  <c r="GZ4" i="28"/>
  <c r="HA4" i="28"/>
  <c r="HB4" i="28"/>
  <c r="HC4" i="28"/>
  <c r="HD4" i="28"/>
  <c r="HE4" i="28"/>
  <c r="HF4" i="28"/>
  <c r="HG4" i="28"/>
  <c r="HH4" i="28"/>
  <c r="HI4" i="28"/>
  <c r="HJ4" i="28"/>
  <c r="HK4" i="28"/>
  <c r="HL4" i="28"/>
  <c r="HM4" i="28"/>
  <c r="HN4" i="28"/>
  <c r="HO4" i="28"/>
  <c r="HP4" i="28"/>
  <c r="HQ4" i="28"/>
  <c r="HR4" i="28"/>
  <c r="HS4" i="28"/>
  <c r="HT4" i="28"/>
  <c r="HU4" i="28"/>
  <c r="HV4" i="28"/>
  <c r="HW4" i="28"/>
  <c r="HX4" i="28"/>
  <c r="HY4" i="28"/>
  <c r="HZ4" i="28"/>
  <c r="IA4" i="28"/>
  <c r="IB4" i="28"/>
  <c r="IC4" i="28"/>
  <c r="ID4" i="28"/>
  <c r="IE4" i="28"/>
  <c r="IF4" i="28"/>
  <c r="IG4" i="28"/>
  <c r="IH4" i="28"/>
  <c r="II4" i="28"/>
  <c r="IJ4" i="28"/>
  <c r="IK4" i="28"/>
  <c r="IL4" i="28"/>
  <c r="IM4" i="28"/>
  <c r="IN4" i="28"/>
  <c r="IO4" i="28"/>
  <c r="IP4" i="28"/>
  <c r="IQ4" i="28"/>
  <c r="IR4" i="28"/>
  <c r="IS4" i="28"/>
  <c r="IT4" i="28"/>
  <c r="IU4" i="28"/>
  <c r="IV4" i="28"/>
  <c r="A3" i="28"/>
  <c r="B3" i="28"/>
  <c r="C3" i="28"/>
  <c r="D3" i="28"/>
  <c r="E3" i="28"/>
  <c r="F3" i="28"/>
  <c r="G3" i="28"/>
  <c r="H3" i="28"/>
  <c r="I3" i="28"/>
  <c r="J3" i="28"/>
  <c r="K3" i="28"/>
  <c r="L3" i="28"/>
  <c r="M3" i="28"/>
  <c r="N3" i="28"/>
  <c r="O3" i="28"/>
  <c r="P3" i="28"/>
  <c r="Q3" i="28"/>
  <c r="R3" i="28"/>
  <c r="S3" i="28"/>
  <c r="T3" i="28"/>
  <c r="U3" i="28"/>
  <c r="V3" i="28"/>
  <c r="W3" i="28"/>
  <c r="X3" i="28"/>
  <c r="Y3" i="28"/>
  <c r="Z3" i="28"/>
  <c r="AA3" i="28"/>
  <c r="AB3" i="28"/>
  <c r="AC3" i="28"/>
  <c r="AD3" i="28"/>
  <c r="AE3" i="28"/>
  <c r="AF3" i="28"/>
  <c r="AG3" i="28"/>
  <c r="AH3" i="28"/>
  <c r="AI3" i="28"/>
  <c r="AJ3" i="28"/>
  <c r="AK3" i="28"/>
  <c r="AL3" i="28"/>
  <c r="AM3" i="28"/>
  <c r="AN3" i="28"/>
  <c r="AO3" i="28"/>
  <c r="AP3" i="28"/>
  <c r="AQ3" i="28"/>
  <c r="AR3" i="28"/>
  <c r="AS3" i="28"/>
  <c r="AT3" i="28"/>
  <c r="AU3" i="28"/>
  <c r="AV3" i="28"/>
  <c r="AW3" i="28"/>
  <c r="AX3" i="28"/>
  <c r="AY3" i="28"/>
  <c r="AZ3" i="28"/>
  <c r="BA3" i="28"/>
  <c r="BB3" i="28"/>
  <c r="BC3" i="28"/>
  <c r="BD3" i="28"/>
  <c r="BE3" i="28"/>
  <c r="BF3" i="28"/>
  <c r="BG3" i="28"/>
  <c r="BH3" i="28"/>
  <c r="BI3" i="28"/>
  <c r="BJ3" i="28"/>
  <c r="BK3" i="28"/>
  <c r="BL3" i="28"/>
  <c r="BM3" i="28"/>
  <c r="BN3" i="28"/>
  <c r="BO3" i="28"/>
  <c r="BP3" i="28"/>
  <c r="BQ3" i="28"/>
  <c r="BR3" i="28"/>
  <c r="BS3" i="28"/>
  <c r="BT3" i="28"/>
  <c r="BU3" i="28"/>
  <c r="BV3" i="28"/>
  <c r="BW3" i="28"/>
  <c r="BX3" i="28"/>
  <c r="BY3" i="28"/>
  <c r="BZ3" i="28"/>
  <c r="CA3" i="28"/>
  <c r="CB3" i="28"/>
  <c r="CC3" i="28"/>
  <c r="CD3" i="28"/>
  <c r="CE3" i="28"/>
  <c r="CF3" i="28"/>
  <c r="CG3" i="28"/>
  <c r="CH3" i="28"/>
  <c r="CI3" i="28"/>
  <c r="CJ3" i="28"/>
  <c r="CK3" i="28"/>
  <c r="CL3" i="28"/>
  <c r="CM3" i="28"/>
  <c r="CN3" i="28"/>
  <c r="CO3" i="28"/>
  <c r="CP3" i="28"/>
  <c r="CQ3" i="28"/>
  <c r="CR3" i="28"/>
  <c r="CS3" i="28"/>
  <c r="CT3" i="28"/>
  <c r="CU3" i="28"/>
  <c r="CV3" i="28"/>
  <c r="CW3" i="28"/>
  <c r="CX3" i="28"/>
  <c r="CY3" i="28"/>
  <c r="CZ3" i="28"/>
  <c r="DA3" i="28"/>
  <c r="DB3" i="28"/>
  <c r="DC3" i="28"/>
  <c r="DD3" i="28"/>
  <c r="DE3" i="28"/>
  <c r="DF3" i="28"/>
  <c r="DG3" i="28"/>
  <c r="DH3" i="28"/>
  <c r="DI3" i="28"/>
  <c r="DJ3" i="28"/>
  <c r="DK3" i="28"/>
  <c r="DL3" i="28"/>
  <c r="DM3" i="28"/>
  <c r="DN3" i="28"/>
  <c r="DO3" i="28"/>
  <c r="DP3" i="28"/>
  <c r="DQ3" i="28"/>
  <c r="DR3" i="28"/>
  <c r="DS3" i="28"/>
  <c r="DT3" i="28"/>
  <c r="DU3" i="28"/>
  <c r="DV3" i="28"/>
  <c r="DW3" i="28"/>
  <c r="DX3" i="28"/>
  <c r="DY3" i="28"/>
  <c r="DZ3" i="28"/>
  <c r="EA3" i="28"/>
  <c r="EB3" i="28"/>
  <c r="EC3" i="28"/>
  <c r="ED3" i="28"/>
  <c r="EE3" i="28"/>
  <c r="EF3" i="28"/>
  <c r="EG3" i="28"/>
  <c r="EH3" i="28"/>
  <c r="EI3" i="28"/>
  <c r="EJ3" i="28"/>
  <c r="EK3" i="28"/>
  <c r="EL3" i="28"/>
  <c r="EM3" i="28"/>
  <c r="EN3" i="28"/>
  <c r="EO3" i="28"/>
  <c r="EP3" i="28"/>
  <c r="EQ3" i="28"/>
  <c r="ER3" i="28"/>
  <c r="ES3" i="28"/>
  <c r="ET3" i="28"/>
  <c r="EU3" i="28"/>
  <c r="EV3" i="28"/>
  <c r="EW3" i="28"/>
  <c r="EX3" i="28"/>
  <c r="EY3" i="28"/>
  <c r="EZ3" i="28"/>
  <c r="FA3" i="28"/>
  <c r="FB3" i="28"/>
  <c r="FC3" i="28"/>
  <c r="FD3" i="28"/>
  <c r="FE3" i="28"/>
  <c r="FF3" i="28"/>
  <c r="FG3" i="28"/>
  <c r="FH3" i="28"/>
  <c r="FI3" i="28"/>
  <c r="FJ3" i="28"/>
  <c r="FK3" i="28"/>
  <c r="FL3" i="28"/>
  <c r="FM3" i="28"/>
  <c r="FN3" i="28"/>
  <c r="FO3" i="28"/>
  <c r="FP3" i="28"/>
  <c r="FQ3" i="28"/>
  <c r="FR3" i="28"/>
  <c r="FS3" i="28"/>
  <c r="FT3" i="28"/>
  <c r="FU3" i="28"/>
  <c r="FV3" i="28"/>
  <c r="FW3" i="28"/>
  <c r="FX3" i="28"/>
  <c r="FY3" i="28"/>
  <c r="FZ3" i="28"/>
  <c r="GA3" i="28"/>
  <c r="GB3" i="28"/>
  <c r="GC3" i="28"/>
  <c r="GD3" i="28"/>
  <c r="GE3" i="28"/>
  <c r="GF3" i="28"/>
  <c r="GG3" i="28"/>
  <c r="GH3" i="28"/>
  <c r="GI3" i="28"/>
  <c r="GJ3" i="28"/>
  <c r="GK3" i="28"/>
  <c r="GL3" i="28"/>
  <c r="GM3" i="28"/>
  <c r="GN3" i="28"/>
  <c r="GO3" i="28"/>
  <c r="GP3" i="28"/>
  <c r="GQ3" i="28"/>
  <c r="GR3" i="28"/>
  <c r="GS3" i="28"/>
  <c r="GT3" i="28"/>
  <c r="GU3" i="28"/>
  <c r="GV3" i="28"/>
  <c r="GW3" i="28"/>
  <c r="GX3" i="28"/>
  <c r="GY3" i="28"/>
  <c r="GZ3" i="28"/>
  <c r="HA3" i="28"/>
  <c r="HB3" i="28"/>
  <c r="HC3" i="28"/>
  <c r="HD3" i="28"/>
  <c r="HE3" i="28"/>
  <c r="HF3" i="28"/>
  <c r="HG3" i="28"/>
  <c r="HH3" i="28"/>
  <c r="HI3" i="28"/>
  <c r="HJ3" i="28"/>
  <c r="HK3" i="28"/>
  <c r="HL3" i="28"/>
  <c r="HM3" i="28"/>
  <c r="HN3" i="28"/>
  <c r="HO3" i="28"/>
  <c r="HP3" i="28"/>
  <c r="HQ3" i="28"/>
  <c r="HR3" i="28"/>
  <c r="HS3" i="28"/>
  <c r="HT3" i="28"/>
  <c r="HU3" i="28"/>
  <c r="HV3" i="28"/>
  <c r="HW3" i="28"/>
  <c r="HX3" i="28"/>
  <c r="HY3" i="28"/>
  <c r="HZ3" i="28"/>
  <c r="IA3" i="28"/>
  <c r="IB3" i="28"/>
  <c r="IC3" i="28"/>
  <c r="ID3" i="28"/>
  <c r="IE3" i="28"/>
  <c r="IF3" i="28"/>
  <c r="IG3" i="28"/>
  <c r="IH3" i="28"/>
  <c r="II3" i="28"/>
  <c r="IJ3" i="28"/>
  <c r="IK3" i="28"/>
  <c r="IL3" i="28"/>
  <c r="IM3" i="28"/>
  <c r="IN3" i="28"/>
  <c r="IO3" i="28"/>
  <c r="IP3" i="28"/>
  <c r="IQ3" i="28"/>
  <c r="IR3" i="28"/>
  <c r="IS3" i="28"/>
  <c r="IT3" i="28"/>
  <c r="IU3" i="28"/>
  <c r="IV3" i="28"/>
  <c r="A2" i="28"/>
  <c r="B2" i="28"/>
  <c r="C2" i="28"/>
  <c r="D2" i="28"/>
  <c r="E2" i="28"/>
  <c r="F2" i="28"/>
  <c r="G2" i="28"/>
  <c r="H2" i="28"/>
  <c r="I2" i="28"/>
  <c r="J2" i="28"/>
  <c r="K2" i="28"/>
  <c r="L2" i="28"/>
  <c r="M2" i="28"/>
  <c r="N2" i="28"/>
  <c r="O2" i="28"/>
  <c r="P2" i="28"/>
  <c r="Q2" i="28"/>
  <c r="R2" i="28"/>
  <c r="S2" i="28"/>
  <c r="T2" i="28"/>
  <c r="U2" i="28"/>
  <c r="V2" i="28"/>
  <c r="W2" i="28"/>
  <c r="X2" i="28"/>
  <c r="Y2" i="28"/>
  <c r="Z2" i="28"/>
  <c r="AA2" i="28"/>
  <c r="AB2" i="28"/>
  <c r="AC2" i="28"/>
  <c r="AD2" i="28"/>
  <c r="AE2" i="28"/>
  <c r="AF2" i="28"/>
  <c r="AG2" i="28"/>
  <c r="AH2" i="28"/>
  <c r="AI2" i="28"/>
  <c r="AJ2" i="28"/>
  <c r="AK2" i="28"/>
  <c r="AL2" i="28"/>
  <c r="AM2" i="28"/>
  <c r="AN2" i="28"/>
  <c r="AO2" i="28"/>
  <c r="AP2" i="28"/>
  <c r="AQ2" i="28"/>
  <c r="AR2" i="28"/>
  <c r="AS2" i="28"/>
  <c r="AT2" i="28"/>
  <c r="AU2" i="28"/>
  <c r="AV2" i="28"/>
  <c r="AW2" i="28"/>
  <c r="AX2" i="28"/>
  <c r="AY2" i="28"/>
  <c r="AZ2" i="28"/>
  <c r="BA2" i="28"/>
  <c r="BB2" i="28"/>
  <c r="BC2" i="28"/>
  <c r="BD2" i="28"/>
  <c r="BE2" i="28"/>
  <c r="BF2" i="28"/>
  <c r="BG2" i="28"/>
  <c r="BH2" i="28"/>
  <c r="BI2" i="28"/>
  <c r="BJ2" i="28"/>
  <c r="BK2" i="28"/>
  <c r="BL2" i="28"/>
  <c r="BM2" i="28"/>
  <c r="BN2" i="28"/>
  <c r="BO2" i="28"/>
  <c r="BP2" i="28"/>
  <c r="BQ2" i="28"/>
  <c r="BR2" i="28"/>
  <c r="BS2" i="28"/>
  <c r="BT2" i="28"/>
  <c r="BU2" i="28"/>
  <c r="BV2" i="28"/>
  <c r="BW2" i="28"/>
  <c r="BX2" i="28"/>
  <c r="BY2" i="28"/>
  <c r="BZ2" i="28"/>
  <c r="CA2" i="28"/>
  <c r="CB2" i="28"/>
  <c r="CC2" i="28"/>
  <c r="CD2" i="28"/>
  <c r="CE2" i="28"/>
  <c r="CF2" i="28"/>
  <c r="CG2" i="28"/>
  <c r="CH2" i="28"/>
  <c r="CI2" i="28"/>
  <c r="CJ2" i="28"/>
  <c r="CK2" i="28"/>
  <c r="CL2" i="28"/>
  <c r="CM2" i="28"/>
  <c r="CN2" i="28"/>
  <c r="CO2" i="28"/>
  <c r="CP2" i="28"/>
  <c r="CQ2" i="28"/>
  <c r="CR2" i="28"/>
  <c r="CS2" i="28"/>
  <c r="CT2" i="28"/>
  <c r="CU2" i="28"/>
  <c r="CV2" i="28"/>
  <c r="CW2" i="28"/>
  <c r="CX2" i="28"/>
  <c r="CY2" i="28"/>
  <c r="CZ2" i="28"/>
  <c r="DA2" i="28"/>
  <c r="DB2" i="28"/>
  <c r="DC2" i="28"/>
  <c r="DD2" i="28"/>
  <c r="DE2" i="28"/>
  <c r="DF2" i="28"/>
  <c r="DG2" i="28"/>
  <c r="DH2" i="28"/>
  <c r="DI2" i="28"/>
  <c r="DJ2" i="28"/>
  <c r="DK2" i="28"/>
  <c r="DL2" i="28"/>
  <c r="DM2" i="28"/>
  <c r="DN2" i="28"/>
  <c r="DO2" i="28"/>
  <c r="DP2" i="28"/>
  <c r="DQ2" i="28"/>
  <c r="DR2" i="28"/>
  <c r="DS2" i="28"/>
  <c r="DT2" i="28"/>
  <c r="DU2" i="28"/>
  <c r="DV2" i="28"/>
  <c r="DW2" i="28"/>
  <c r="DX2" i="28"/>
  <c r="DY2" i="28"/>
  <c r="DZ2" i="28"/>
  <c r="EA2" i="28"/>
  <c r="EB2" i="28"/>
  <c r="EC2" i="28"/>
  <c r="ED2" i="28"/>
  <c r="EE2" i="28"/>
  <c r="EF2" i="28"/>
  <c r="EG2" i="28"/>
  <c r="EH2" i="28"/>
  <c r="EI2" i="28"/>
  <c r="EJ2" i="28"/>
  <c r="EK2" i="28"/>
  <c r="EL2" i="28"/>
  <c r="EM2" i="28"/>
  <c r="EN2" i="28"/>
  <c r="EO2" i="28"/>
  <c r="EP2" i="28"/>
  <c r="EQ2" i="28"/>
  <c r="ER2" i="28"/>
  <c r="ES2" i="28"/>
  <c r="ET2" i="28"/>
  <c r="EU2" i="28"/>
  <c r="EV2" i="28"/>
  <c r="EW2" i="28"/>
  <c r="EX2" i="28"/>
  <c r="EY2" i="28"/>
  <c r="EZ2" i="28"/>
  <c r="FA2" i="28"/>
  <c r="FB2" i="28"/>
  <c r="FC2" i="28"/>
  <c r="FD2" i="28"/>
  <c r="FE2" i="28"/>
  <c r="FF2" i="28"/>
  <c r="FG2" i="28"/>
  <c r="FH2" i="28"/>
  <c r="FI2" i="28"/>
  <c r="FJ2" i="28"/>
  <c r="FK2" i="28"/>
  <c r="FL2" i="28"/>
  <c r="FM2" i="28"/>
  <c r="FN2" i="28"/>
  <c r="FO2" i="28"/>
  <c r="FP2" i="28"/>
  <c r="FQ2" i="28"/>
  <c r="FR2" i="28"/>
  <c r="FS2" i="28"/>
  <c r="FT2" i="28"/>
  <c r="FU2" i="28"/>
  <c r="FV2" i="28"/>
  <c r="FW2" i="28"/>
  <c r="FX2" i="28"/>
  <c r="FY2" i="28"/>
  <c r="FZ2" i="28"/>
  <c r="GA2" i="28"/>
  <c r="GB2" i="28"/>
  <c r="GC2" i="28"/>
  <c r="GD2" i="28"/>
  <c r="GE2" i="28"/>
  <c r="GF2" i="28"/>
  <c r="GG2" i="28"/>
  <c r="GH2" i="28"/>
  <c r="GI2" i="28"/>
  <c r="GJ2" i="28"/>
  <c r="GK2" i="28"/>
  <c r="GL2" i="28"/>
  <c r="GM2" i="28"/>
  <c r="GN2" i="28"/>
  <c r="GO2" i="28"/>
  <c r="GP2" i="28"/>
  <c r="GQ2" i="28"/>
  <c r="GR2" i="28"/>
  <c r="GS2" i="28"/>
  <c r="GT2" i="28"/>
  <c r="GU2" i="28"/>
  <c r="GV2" i="28"/>
  <c r="GW2" i="28"/>
  <c r="GX2" i="28"/>
  <c r="GY2" i="28"/>
  <c r="GZ2" i="28"/>
  <c r="HA2" i="28"/>
  <c r="HB2" i="28"/>
  <c r="HC2" i="28"/>
  <c r="HD2" i="28"/>
  <c r="HE2" i="28"/>
  <c r="HF2" i="28"/>
  <c r="HG2" i="28"/>
  <c r="HH2" i="28"/>
  <c r="HI2" i="28"/>
  <c r="HJ2" i="28"/>
  <c r="HK2" i="28"/>
  <c r="HL2" i="28"/>
  <c r="HM2" i="28"/>
  <c r="HN2" i="28"/>
  <c r="HO2" i="28"/>
  <c r="HP2" i="28"/>
  <c r="HQ2" i="28"/>
  <c r="HR2" i="28"/>
  <c r="HS2" i="28"/>
  <c r="HT2" i="28"/>
  <c r="HU2" i="28"/>
  <c r="HV2" i="28"/>
  <c r="HW2" i="28"/>
  <c r="HX2" i="28"/>
  <c r="HY2" i="28"/>
  <c r="HZ2" i="28"/>
  <c r="IA2" i="28"/>
  <c r="IB2" i="28"/>
  <c r="IC2" i="28"/>
  <c r="ID2" i="28"/>
  <c r="IE2" i="28"/>
  <c r="IF2" i="28"/>
  <c r="IG2" i="28"/>
  <c r="IH2" i="28"/>
  <c r="II2" i="28"/>
  <c r="IJ2" i="28"/>
  <c r="IK2" i="28"/>
  <c r="IL2" i="28"/>
  <c r="IM2" i="28"/>
  <c r="IN2" i="28"/>
  <c r="IO2" i="28"/>
  <c r="IP2" i="28"/>
  <c r="IQ2" i="28"/>
  <c r="IR2" i="28"/>
  <c r="IS2" i="28"/>
  <c r="IT2" i="28"/>
  <c r="IU2" i="28"/>
  <c r="IV2" i="28"/>
  <c r="A1" i="28"/>
  <c r="B1" i="28"/>
  <c r="C1" i="28"/>
  <c r="D1" i="28"/>
  <c r="E1" i="28"/>
  <c r="F1" i="28"/>
  <c r="G1" i="28"/>
  <c r="H1" i="28"/>
  <c r="I1" i="28"/>
  <c r="J1" i="28"/>
  <c r="K1" i="28"/>
  <c r="L1" i="28"/>
  <c r="M1" i="28"/>
  <c r="N1" i="28"/>
  <c r="O1" i="28"/>
  <c r="P1" i="28"/>
  <c r="Q1" i="28"/>
  <c r="R1" i="28"/>
  <c r="S1" i="28"/>
  <c r="T1" i="28"/>
  <c r="U1" i="28"/>
  <c r="V1" i="28"/>
  <c r="W1" i="28"/>
  <c r="X1" i="28"/>
  <c r="Y1" i="28"/>
  <c r="Z1" i="28"/>
  <c r="AA1" i="28"/>
  <c r="AB1" i="28"/>
  <c r="AC1" i="28"/>
  <c r="AD1" i="28"/>
  <c r="AE1" i="28"/>
  <c r="AF1" i="28"/>
  <c r="AG1" i="28"/>
  <c r="AH1" i="28"/>
  <c r="AI1" i="28"/>
  <c r="AJ1" i="28"/>
  <c r="AK1" i="28"/>
  <c r="AL1" i="28"/>
  <c r="AM1" i="28"/>
  <c r="AN1" i="28"/>
  <c r="AO1" i="28"/>
  <c r="AP1" i="28"/>
  <c r="AQ1" i="28"/>
  <c r="AR1" i="28"/>
  <c r="AS1" i="28"/>
  <c r="AT1" i="28"/>
  <c r="AU1" i="28"/>
  <c r="AV1" i="28"/>
  <c r="AW1" i="28"/>
  <c r="AX1" i="28"/>
  <c r="AY1" i="28"/>
  <c r="AZ1" i="28"/>
  <c r="BA1" i="28"/>
  <c r="BB1" i="28"/>
  <c r="BC1" i="28"/>
  <c r="BD1" i="28"/>
  <c r="BE1" i="28"/>
  <c r="BF1" i="28"/>
  <c r="BG1" i="28"/>
  <c r="BH1" i="28"/>
  <c r="BI1" i="28"/>
  <c r="BJ1" i="28"/>
  <c r="BK1" i="28"/>
  <c r="BL1" i="28"/>
  <c r="BM1" i="28"/>
  <c r="BN1" i="28"/>
  <c r="BO1" i="28"/>
  <c r="BP1" i="28"/>
  <c r="BQ1" i="28"/>
  <c r="BR1" i="28"/>
  <c r="BS1" i="28"/>
  <c r="BT1" i="28"/>
  <c r="BU1" i="28"/>
  <c r="BV1" i="28"/>
  <c r="BW1" i="28"/>
  <c r="BX1" i="28"/>
  <c r="BY1" i="28"/>
  <c r="BZ1" i="28"/>
  <c r="CA1" i="28"/>
  <c r="CB1" i="28"/>
  <c r="CC1" i="28"/>
  <c r="CD1" i="28"/>
  <c r="CE1" i="28"/>
  <c r="CF1" i="28"/>
  <c r="CG1" i="28"/>
  <c r="CH1" i="28"/>
  <c r="CI1" i="28"/>
  <c r="CJ1" i="28"/>
  <c r="CK1" i="28"/>
  <c r="CL1" i="28"/>
  <c r="CM1" i="28"/>
  <c r="CN1" i="28"/>
  <c r="CO1" i="28"/>
  <c r="CP1" i="28"/>
  <c r="CQ1" i="28"/>
  <c r="CR1" i="28"/>
  <c r="CS1" i="28"/>
  <c r="CT1" i="28"/>
  <c r="CU1" i="28"/>
  <c r="CV1" i="28"/>
  <c r="CW1" i="28"/>
  <c r="CX1" i="28"/>
  <c r="CY1" i="28"/>
  <c r="CZ1" i="28"/>
  <c r="DA1" i="28"/>
  <c r="DB1" i="28"/>
  <c r="DC1" i="28"/>
  <c r="DD1" i="28"/>
  <c r="DE1" i="28"/>
  <c r="DF1" i="28"/>
  <c r="DG1" i="28"/>
  <c r="DH1" i="28"/>
  <c r="DI1" i="28"/>
  <c r="DJ1" i="28"/>
  <c r="DK1" i="28"/>
  <c r="DL1" i="28"/>
  <c r="DM1" i="28"/>
  <c r="DN1" i="28"/>
  <c r="DO1" i="28"/>
  <c r="DP1" i="28"/>
  <c r="DQ1" i="28"/>
  <c r="DR1" i="28"/>
  <c r="DS1" i="28"/>
  <c r="DT1" i="28"/>
  <c r="DU1" i="28"/>
  <c r="DV1" i="28"/>
  <c r="DW1" i="28"/>
  <c r="DX1" i="28"/>
  <c r="DY1" i="28"/>
  <c r="DZ1" i="28"/>
  <c r="EA1" i="28"/>
  <c r="EB1" i="28"/>
  <c r="EC1" i="28"/>
  <c r="ED1" i="28"/>
  <c r="EE1" i="28"/>
  <c r="EF1" i="28"/>
  <c r="EG1" i="28"/>
  <c r="EH1" i="28"/>
  <c r="EI1" i="28"/>
  <c r="EJ1" i="28"/>
  <c r="EK1" i="28"/>
  <c r="EL1" i="28"/>
  <c r="EM1" i="28"/>
  <c r="EN1" i="28"/>
  <c r="EO1" i="28"/>
  <c r="EP1" i="28"/>
  <c r="EQ1" i="28"/>
  <c r="ER1" i="28"/>
  <c r="ES1" i="28"/>
  <c r="ET1" i="28"/>
  <c r="EU1" i="28"/>
  <c r="EV1" i="28"/>
  <c r="EW1" i="28"/>
  <c r="EX1" i="28"/>
  <c r="EY1" i="28"/>
  <c r="EZ1" i="28"/>
  <c r="FA1" i="28"/>
  <c r="FB1" i="28"/>
  <c r="FC1" i="28"/>
  <c r="FD1" i="28"/>
  <c r="FE1" i="28"/>
  <c r="FF1" i="28"/>
  <c r="FG1" i="28"/>
  <c r="FH1" i="28"/>
  <c r="FI1" i="28"/>
  <c r="FJ1" i="28"/>
  <c r="FK1" i="28"/>
  <c r="FL1" i="28"/>
  <c r="FM1" i="28"/>
  <c r="FN1" i="28"/>
  <c r="FO1" i="28"/>
  <c r="FP1" i="28"/>
  <c r="FQ1" i="28"/>
  <c r="FR1" i="28"/>
  <c r="FS1" i="28"/>
  <c r="FT1" i="28"/>
  <c r="FU1" i="28"/>
  <c r="FV1" i="28"/>
  <c r="FW1" i="28"/>
  <c r="FX1" i="28"/>
  <c r="FY1" i="28"/>
  <c r="FZ1" i="28"/>
  <c r="GA1" i="28"/>
  <c r="GB1" i="28"/>
  <c r="GC1" i="28"/>
  <c r="GD1" i="28"/>
  <c r="GE1" i="28"/>
  <c r="GF1" i="28"/>
  <c r="GG1" i="28"/>
  <c r="GH1" i="28"/>
  <c r="GI1" i="28"/>
  <c r="GJ1" i="28"/>
  <c r="GK1" i="28"/>
  <c r="GL1" i="28"/>
  <c r="GM1" i="28"/>
  <c r="GN1" i="28"/>
  <c r="GO1" i="28"/>
  <c r="GP1" i="28"/>
  <c r="GQ1" i="28"/>
  <c r="GR1" i="28"/>
  <c r="GS1" i="28"/>
  <c r="GT1" i="28"/>
  <c r="GU1" i="28"/>
  <c r="GV1" i="28"/>
  <c r="GW1" i="28"/>
  <c r="GX1" i="28"/>
  <c r="GY1" i="28"/>
  <c r="GZ1" i="28"/>
  <c r="HA1" i="28"/>
  <c r="HB1" i="28"/>
  <c r="HC1" i="28"/>
  <c r="HD1" i="28"/>
  <c r="HE1" i="28"/>
  <c r="HF1" i="28"/>
  <c r="HG1" i="28"/>
  <c r="HH1" i="28"/>
  <c r="HI1" i="28"/>
  <c r="HJ1" i="28"/>
  <c r="HK1" i="28"/>
  <c r="HL1" i="28"/>
  <c r="HM1" i="28"/>
  <c r="HN1" i="28"/>
  <c r="HO1" i="28"/>
  <c r="HP1" i="28"/>
  <c r="HQ1" i="28"/>
  <c r="HR1" i="28"/>
  <c r="HS1" i="28"/>
  <c r="HT1" i="28"/>
  <c r="HU1" i="28"/>
  <c r="HV1" i="28"/>
  <c r="HW1" i="28"/>
  <c r="HX1" i="28"/>
  <c r="HY1" i="28"/>
  <c r="HZ1" i="28"/>
  <c r="IA1" i="28"/>
  <c r="IB1" i="28"/>
  <c r="IC1" i="28"/>
  <c r="ID1" i="28"/>
  <c r="IE1" i="28"/>
  <c r="IF1" i="28"/>
  <c r="IG1" i="28"/>
  <c r="IH1" i="28"/>
  <c r="II1" i="28"/>
  <c r="IJ1" i="28"/>
  <c r="IK1" i="28"/>
  <c r="IL1" i="28"/>
  <c r="IM1" i="28"/>
  <c r="IN1" i="28"/>
  <c r="IO1" i="28"/>
  <c r="IP1" i="28"/>
  <c r="IQ1" i="28"/>
  <c r="IR1" i="28"/>
  <c r="IS1" i="28"/>
  <c r="IT1" i="28"/>
  <c r="IU1" i="28"/>
  <c r="IV1" i="28"/>
  <c r="B86" i="28"/>
  <c r="J93" i="28"/>
  <c r="M93" i="28"/>
  <c r="L93" i="28"/>
  <c r="N93" i="28"/>
  <c r="D89" i="28"/>
  <c r="F92" i="28"/>
  <c r="D94" i="28"/>
  <c r="AR100" i="28"/>
  <c r="AT100" i="28"/>
  <c r="AV100" i="28"/>
  <c r="F97" i="28"/>
  <c r="B98" i="28"/>
  <c r="C101" i="28"/>
  <c r="F102" i="28"/>
  <c r="B103" i="28"/>
  <c r="BZ107" i="28"/>
  <c r="CA107" i="28"/>
  <c r="CB107" i="28"/>
  <c r="CD107" i="28"/>
  <c r="E104" i="28"/>
  <c r="D106" i="28"/>
  <c r="B108" i="28"/>
  <c r="DH114" i="28"/>
  <c r="DI114" i="28"/>
  <c r="DJ114" i="28"/>
  <c r="DL114" i="28"/>
  <c r="D111" i="28"/>
  <c r="F114" i="28"/>
  <c r="C113" i="28"/>
  <c r="DK114" i="28"/>
  <c r="AU100" i="28"/>
  <c r="AS100" i="28"/>
  <c r="C91" i="28"/>
  <c r="C96" i="28"/>
  <c r="CC107" i="28"/>
  <c r="E109" i="28"/>
  <c r="K93" i="28" l="1"/>
  <c r="E87" i="28"/>
  <c r="E99" i="28"/>
  <c r="K81" i="28" l="1"/>
  <c r="K82" i="28"/>
</calcChain>
</file>

<file path=xl/sharedStrings.xml><?xml version="1.0" encoding="utf-8"?>
<sst xmlns="http://schemas.openxmlformats.org/spreadsheetml/2006/main" count="335" uniqueCount="250">
  <si>
    <t>教室主任</t>
    <rPh sb="0" eb="2">
      <t>キョウシツ</t>
    </rPh>
    <rPh sb="2" eb="4">
      <t>シュニン</t>
    </rPh>
    <phoneticPr fontId="4"/>
  </si>
  <si>
    <t>井上教授</t>
    <rPh sb="0" eb="2">
      <t>イノウエ</t>
    </rPh>
    <rPh sb="2" eb="4">
      <t>キョウジュ</t>
    </rPh>
    <phoneticPr fontId="4"/>
  </si>
  <si>
    <t>薬用植物園</t>
    <rPh sb="0" eb="2">
      <t>ヤクヨウ</t>
    </rPh>
    <rPh sb="2" eb="5">
      <t>ショクブツエン</t>
    </rPh>
    <phoneticPr fontId="4"/>
  </si>
  <si>
    <t>遺伝学</t>
    <rPh sb="0" eb="3">
      <t>イデンガク</t>
    </rPh>
    <phoneticPr fontId="4"/>
  </si>
  <si>
    <t>三浦教授</t>
    <rPh sb="0" eb="2">
      <t>ミウラ</t>
    </rPh>
    <rPh sb="2" eb="4">
      <t>キョウジュ</t>
    </rPh>
    <phoneticPr fontId="4"/>
  </si>
  <si>
    <t>国際交流室</t>
  </si>
  <si>
    <t>isar-gsps@mol.f.u-tokyo.ac.jp</t>
  </si>
  <si>
    <t>RI管理室</t>
    <rPh sb="2" eb="5">
      <t>カンリシツ</t>
    </rPh>
    <phoneticPr fontId="4"/>
  </si>
  <si>
    <t>aaruai@mol.f.u-tokyo.ac.jp</t>
  </si>
  <si>
    <t>医薬品評価科学</t>
    <rPh sb="0" eb="3">
      <t>イヤクヒン</t>
    </rPh>
    <rPh sb="3" eb="5">
      <t>ヒョウカ</t>
    </rPh>
    <rPh sb="5" eb="7">
      <t>カガク</t>
    </rPh>
    <phoneticPr fontId="4"/>
  </si>
  <si>
    <t>細胞情報学</t>
    <rPh sb="0" eb="2">
      <t>サイボウ</t>
    </rPh>
    <rPh sb="2" eb="5">
      <t>ジョウホウガク</t>
    </rPh>
    <phoneticPr fontId="4"/>
  </si>
  <si>
    <t>一條教授</t>
    <rPh sb="0" eb="2">
      <t>イチジョウ</t>
    </rPh>
    <rPh sb="2" eb="4">
      <t>キョウジュ</t>
    </rPh>
    <phoneticPr fontId="4"/>
  </si>
  <si>
    <t>生命物理化学</t>
    <rPh sb="0" eb="2">
      <t>セイメイ</t>
    </rPh>
    <rPh sb="2" eb="4">
      <t>ブツリ</t>
    </rPh>
    <rPh sb="4" eb="6">
      <t>カガク</t>
    </rPh>
    <phoneticPr fontId="4"/>
  </si>
  <si>
    <t>衛生化学</t>
    <rPh sb="0" eb="2">
      <t>エイセイ</t>
    </rPh>
    <rPh sb="2" eb="4">
      <t>カガク</t>
    </rPh>
    <phoneticPr fontId="4"/>
  </si>
  <si>
    <t>蛋白構造生物学</t>
    <rPh sb="0" eb="2">
      <t>タンパク</t>
    </rPh>
    <rPh sb="2" eb="4">
      <t>コウゾウ</t>
    </rPh>
    <rPh sb="4" eb="7">
      <t>セイブツガク</t>
    </rPh>
    <phoneticPr fontId="4"/>
  </si>
  <si>
    <t>清水教授</t>
    <rPh sb="0" eb="2">
      <t>シミズ</t>
    </rPh>
    <rPh sb="2" eb="4">
      <t>キョウジュ</t>
    </rPh>
    <phoneticPr fontId="4"/>
  </si>
  <si>
    <t>生理化学</t>
    <rPh sb="0" eb="2">
      <t>セイリ</t>
    </rPh>
    <rPh sb="2" eb="4">
      <t>カガク</t>
    </rPh>
    <phoneticPr fontId="4"/>
  </si>
  <si>
    <t>有機合成化学</t>
    <rPh sb="0" eb="2">
      <t>ユウキ</t>
    </rPh>
    <rPh sb="2" eb="4">
      <t>ゴウセイ</t>
    </rPh>
    <rPh sb="4" eb="6">
      <t>カガク</t>
    </rPh>
    <phoneticPr fontId="4"/>
  </si>
  <si>
    <t>金井教授</t>
    <rPh sb="0" eb="2">
      <t>カナイ</t>
    </rPh>
    <rPh sb="2" eb="4">
      <t>キョウジュ</t>
    </rPh>
    <phoneticPr fontId="4"/>
  </si>
  <si>
    <t>生体分析化学</t>
    <rPh sb="0" eb="2">
      <t>セイタイ</t>
    </rPh>
    <rPh sb="2" eb="4">
      <t>ブンセキ</t>
    </rPh>
    <rPh sb="4" eb="6">
      <t>カガク</t>
    </rPh>
    <phoneticPr fontId="4"/>
  </si>
  <si>
    <t>船津教授</t>
    <rPh sb="0" eb="2">
      <t>フナツ</t>
    </rPh>
    <rPh sb="2" eb="4">
      <t>キョウジュ</t>
    </rPh>
    <phoneticPr fontId="4"/>
  </si>
  <si>
    <t>岡部助教</t>
    <rPh sb="0" eb="2">
      <t>オカベ</t>
    </rPh>
    <rPh sb="2" eb="4">
      <t>ジョキョウ</t>
    </rPh>
    <phoneticPr fontId="4"/>
  </si>
  <si>
    <t>内山助教</t>
    <rPh sb="0" eb="2">
      <t>ウチヤマ</t>
    </rPh>
    <rPh sb="2" eb="4">
      <t>ジョキョウ</t>
    </rPh>
    <phoneticPr fontId="4"/>
  </si>
  <si>
    <t>seiichi@mol.f.u-tokyo.ac.jp</t>
  </si>
  <si>
    <t>薬化学</t>
    <rPh sb="0" eb="3">
      <t>ヤクカガク</t>
    </rPh>
    <phoneticPr fontId="4"/>
  </si>
  <si>
    <t>大和田教授</t>
    <rPh sb="0" eb="3">
      <t>オオワダ</t>
    </rPh>
    <rPh sb="3" eb="5">
      <t>キョウジュ</t>
    </rPh>
    <phoneticPr fontId="4"/>
  </si>
  <si>
    <t>蛋白質代謝学</t>
    <rPh sb="0" eb="3">
      <t>タンパクシツ</t>
    </rPh>
    <rPh sb="3" eb="6">
      <t>タイシャガク</t>
    </rPh>
    <phoneticPr fontId="4"/>
  </si>
  <si>
    <t>村田教授</t>
    <rPh sb="0" eb="2">
      <t>ムラタ</t>
    </rPh>
    <rPh sb="2" eb="4">
      <t>キョウジュ</t>
    </rPh>
    <phoneticPr fontId="4"/>
  </si>
  <si>
    <t>分子薬物動態学</t>
    <rPh sb="0" eb="2">
      <t>ブンシ</t>
    </rPh>
    <rPh sb="2" eb="4">
      <t>ヤクブツ</t>
    </rPh>
    <rPh sb="4" eb="7">
      <t>ドウタイガク</t>
    </rPh>
    <phoneticPr fontId="4"/>
  </si>
  <si>
    <t>薬品作用学</t>
    <rPh sb="0" eb="2">
      <t>ヤクヒン</t>
    </rPh>
    <rPh sb="2" eb="4">
      <t>サヨウ</t>
    </rPh>
    <rPh sb="4" eb="5">
      <t>ガク</t>
    </rPh>
    <phoneticPr fontId="4"/>
  </si>
  <si>
    <t>基礎有機化学</t>
    <rPh sb="0" eb="2">
      <t>キソ</t>
    </rPh>
    <rPh sb="2" eb="4">
      <t>ユウキ</t>
    </rPh>
    <rPh sb="4" eb="6">
      <t>カガク</t>
    </rPh>
    <phoneticPr fontId="4"/>
  </si>
  <si>
    <t>内山教授</t>
    <rPh sb="0" eb="2">
      <t>ウチヤマ</t>
    </rPh>
    <rPh sb="2" eb="4">
      <t>キョウジュ</t>
    </rPh>
    <phoneticPr fontId="4"/>
  </si>
  <si>
    <t>天然物化学</t>
    <rPh sb="0" eb="2">
      <t>テンネン</t>
    </rPh>
    <rPh sb="2" eb="3">
      <t>ブツ</t>
    </rPh>
    <rPh sb="3" eb="5">
      <t>カガク</t>
    </rPh>
    <phoneticPr fontId="4"/>
  </si>
  <si>
    <t>阿部教授</t>
    <rPh sb="0" eb="2">
      <t>アベ</t>
    </rPh>
    <rPh sb="2" eb="4">
      <t>キョウジュ</t>
    </rPh>
    <phoneticPr fontId="4"/>
  </si>
  <si>
    <t>医薬政策学</t>
    <rPh sb="0" eb="2">
      <t>イヤク</t>
    </rPh>
    <rPh sb="2" eb="5">
      <t>セイサクガク</t>
    </rPh>
    <phoneticPr fontId="4"/>
  </si>
  <si>
    <t>AAAAAHs+ewg=</t>
  </si>
  <si>
    <t>AAAAAHs+ewk=</t>
  </si>
  <si>
    <t>AAAAAHs+ewo=</t>
  </si>
  <si>
    <t>AAAAAHs+ews=</t>
  </si>
  <si>
    <t>AAAAAHs+eww=</t>
  </si>
  <si>
    <t>AAAAAHs+ew0=</t>
  </si>
  <si>
    <t>AAAAAHs+ew4=</t>
  </si>
  <si>
    <t>AAAAAHs+ew8=</t>
  </si>
  <si>
    <t>AAAAAHs+exA=</t>
  </si>
  <si>
    <t>富田教授</t>
    <rPh sb="0" eb="4">
      <t>トミタキョウジュ</t>
    </rPh>
    <phoneticPr fontId="4"/>
  </si>
  <si>
    <t>後藤教授</t>
    <rPh sb="0" eb="4">
      <t>ゴトウキョウジュ</t>
    </rPh>
    <phoneticPr fontId="4"/>
  </si>
  <si>
    <t>池谷教授</t>
    <rPh sb="0" eb="2">
      <t>イケガヤ</t>
    </rPh>
    <rPh sb="2" eb="4">
      <t>キョウジュ</t>
    </rPh>
    <phoneticPr fontId="4"/>
  </si>
  <si>
    <t>楠原教授</t>
    <rPh sb="0" eb="2">
      <t>クスハラ</t>
    </rPh>
    <rPh sb="2" eb="4">
      <t>キョウジュ</t>
    </rPh>
    <phoneticPr fontId="4"/>
  </si>
  <si>
    <t>三田特任教授</t>
    <rPh sb="0" eb="2">
      <t>サンタ</t>
    </rPh>
    <rPh sb="2" eb="3">
      <t>トク</t>
    </rPh>
    <rPh sb="3" eb="4">
      <t>ニン</t>
    </rPh>
    <rPh sb="4" eb="6">
      <t>キョウジュ</t>
    </rPh>
    <phoneticPr fontId="2"/>
  </si>
  <si>
    <t>山本講師</t>
    <rPh sb="0" eb="2">
      <t>ヤマモト</t>
    </rPh>
    <rPh sb="2" eb="4">
      <t>コウシ</t>
    </rPh>
    <phoneticPr fontId="2"/>
  </si>
  <si>
    <t>伊藤助教</t>
    <rPh sb="0" eb="2">
      <t>イトウ</t>
    </rPh>
    <rPh sb="2" eb="3">
      <t>ジョ</t>
    </rPh>
    <rPh sb="3" eb="4">
      <t>キョウ</t>
    </rPh>
    <phoneticPr fontId="4"/>
  </si>
  <si>
    <t>高橋技術職員</t>
    <rPh sb="0" eb="2">
      <t>タカハシ</t>
    </rPh>
    <rPh sb="2" eb="4">
      <t>ギジュツ</t>
    </rPh>
    <rPh sb="4" eb="6">
      <t>ショクイン</t>
    </rPh>
    <phoneticPr fontId="4"/>
  </si>
  <si>
    <t>小野准教授</t>
    <rPh sb="0" eb="2">
      <t>オノ</t>
    </rPh>
    <rPh sb="2" eb="3">
      <t>ジュン</t>
    </rPh>
    <rPh sb="3" eb="5">
      <t>キョウジュ</t>
    </rPh>
    <phoneticPr fontId="4"/>
  </si>
  <si>
    <t>創薬機構</t>
    <rPh sb="0" eb="1">
      <t>ソウ</t>
    </rPh>
    <rPh sb="1" eb="2">
      <t>ヤク</t>
    </rPh>
    <rPh sb="2" eb="4">
      <t>キコウ</t>
    </rPh>
    <phoneticPr fontId="4"/>
  </si>
  <si>
    <t>機能病態</t>
    <rPh sb="0" eb="2">
      <t>キノウ</t>
    </rPh>
    <rPh sb="2" eb="4">
      <t>ビョウタイ</t>
    </rPh>
    <phoneticPr fontId="4"/>
  </si>
  <si>
    <t>薬品代謝化学</t>
    <rPh sb="0" eb="2">
      <t>ヤクヒン</t>
    </rPh>
    <rPh sb="2" eb="4">
      <t>タイシャ</t>
    </rPh>
    <rPh sb="4" eb="6">
      <t>カガク</t>
    </rPh>
    <phoneticPr fontId="2"/>
  </si>
  <si>
    <t>分子生物学</t>
    <rPh sb="0" eb="2">
      <t>ブンシ</t>
    </rPh>
    <rPh sb="2" eb="4">
      <t>セイブツ</t>
    </rPh>
    <rPh sb="4" eb="5">
      <t>ガク</t>
    </rPh>
    <phoneticPr fontId="4"/>
  </si>
  <si>
    <t>浦野教授</t>
    <rPh sb="0" eb="2">
      <t>ウラノ</t>
    </rPh>
    <rPh sb="2" eb="4">
      <t>キョウジュ</t>
    </rPh>
    <phoneticPr fontId="2"/>
  </si>
  <si>
    <t>育薬学</t>
    <rPh sb="0" eb="1">
      <t>イク</t>
    </rPh>
    <rPh sb="1" eb="3">
      <t>ヤクガク</t>
    </rPh>
    <phoneticPr fontId="2"/>
  </si>
  <si>
    <t>図書館</t>
    <rPh sb="0" eb="3">
      <t>トショカン</t>
    </rPh>
    <phoneticPr fontId="2"/>
  </si>
  <si>
    <t>薬学部各研究室ネットワーク管理者</t>
    <rPh sb="0" eb="3">
      <t>ヤクガクブ</t>
    </rPh>
    <rPh sb="3" eb="4">
      <t>カク</t>
    </rPh>
    <rPh sb="4" eb="7">
      <t>ケンキュウシツ</t>
    </rPh>
    <rPh sb="13" eb="16">
      <t>カンリシャ</t>
    </rPh>
    <phoneticPr fontId="4"/>
  </si>
  <si>
    <t>shun-ono@mol.f.u-tokyo.ac.jp</t>
    <phoneticPr fontId="2"/>
  </si>
  <si>
    <t>takehito-tky@umin.ac.jp</t>
    <phoneticPr fontId="2"/>
  </si>
  <si>
    <t>教室名</t>
    <rPh sb="0" eb="2">
      <t>キョウシツ</t>
    </rPh>
    <rPh sb="2" eb="3">
      <t>メイ</t>
    </rPh>
    <phoneticPr fontId="2"/>
  </si>
  <si>
    <t>メールアドレス１
（mol.fアドレス、または業務で最も使用頻度の高いアドレス）</t>
    <rPh sb="23" eb="25">
      <t>ギョウム</t>
    </rPh>
    <rPh sb="26" eb="27">
      <t>モット</t>
    </rPh>
    <rPh sb="28" eb="30">
      <t>シヨウ</t>
    </rPh>
    <rPh sb="30" eb="32">
      <t>ヒンド</t>
    </rPh>
    <rPh sb="33" eb="34">
      <t>タカ</t>
    </rPh>
    <phoneticPr fontId="4"/>
  </si>
  <si>
    <t>ykisi@mol.f.u-tokyo.ac.jp</t>
    <phoneticPr fontId="2"/>
  </si>
  <si>
    <t>免疫微生物学</t>
  </si>
  <si>
    <t>堀教授</t>
  </si>
  <si>
    <t>村上特任助教</t>
  </si>
  <si>
    <t>r.murakami@mol.f.u-tokyo.ac.jp</t>
  </si>
  <si>
    <t>ohwada@mol.f.u-tokyo.ac.jp</t>
    <phoneticPr fontId="2"/>
  </si>
  <si>
    <t>tsasaki@mol.f.u-tokyo.ac.jp</t>
    <phoneticPr fontId="2"/>
  </si>
  <si>
    <t>kimamura@mol.f.u-tokyo.ac.jp</t>
    <phoneticPr fontId="2"/>
  </si>
  <si>
    <t>nozomu@mol.f.u-tokyo.ac.jp</t>
    <phoneticPr fontId="2"/>
  </si>
  <si>
    <t>taisuke@mol.f.u-tokyo.ac.jp</t>
    <phoneticPr fontId="4"/>
  </si>
  <si>
    <t>大戸准教授</t>
    <rPh sb="0" eb="2">
      <t>オオト</t>
    </rPh>
    <rPh sb="2" eb="5">
      <t>ジュンキョウジュ</t>
    </rPh>
    <phoneticPr fontId="4"/>
  </si>
  <si>
    <t>oriharay@mol.f.u-tokyo.ac.jp</t>
    <phoneticPr fontId="2"/>
  </si>
  <si>
    <t>kojima@mol.f.u-tokyo.ac.jp</t>
    <phoneticPr fontId="4"/>
  </si>
  <si>
    <t>上野助教</t>
    <rPh sb="0" eb="2">
      <t>ウエノ</t>
    </rPh>
    <rPh sb="2" eb="3">
      <t>ジョ</t>
    </rPh>
    <rPh sb="3" eb="4">
      <t>キョウ</t>
    </rPh>
    <phoneticPr fontId="2"/>
  </si>
  <si>
    <t>tasueno@mol.f.u-tokyo.ac.jp</t>
    <phoneticPr fontId="2"/>
  </si>
  <si>
    <t>s.hirayama@mol.f.u-tokyo.ac.jp</t>
    <phoneticPr fontId="4"/>
  </si>
  <si>
    <t>awakawa@mol.f.u-tokyo.ac.jp</t>
    <phoneticPr fontId="2"/>
  </si>
  <si>
    <t>itoh@mol.f.u-tokyo.ac.jp</t>
    <phoneticPr fontId="2"/>
  </si>
  <si>
    <t>seimeibutsurikagaku@nmrlab.f.u-tokyo.ac.jp</t>
    <phoneticPr fontId="2"/>
  </si>
  <si>
    <t>建物</t>
    <rPh sb="0" eb="2">
      <t>タテモノ</t>
    </rPh>
    <phoneticPr fontId="2"/>
  </si>
  <si>
    <t>階</t>
    <rPh sb="0" eb="1">
      <t>カイ</t>
    </rPh>
    <phoneticPr fontId="2"/>
  </si>
  <si>
    <t>本館</t>
  </si>
  <si>
    <t>本館</t>
    <phoneticPr fontId="2"/>
  </si>
  <si>
    <t>3F</t>
  </si>
  <si>
    <t>3F</t>
    <phoneticPr fontId="2"/>
  </si>
  <si>
    <t>総合研究棟</t>
  </si>
  <si>
    <t>総合研究棟</t>
    <phoneticPr fontId="2"/>
  </si>
  <si>
    <t>5F</t>
  </si>
  <si>
    <t>5F</t>
    <phoneticPr fontId="2"/>
  </si>
  <si>
    <t>2F</t>
  </si>
  <si>
    <t>2F</t>
    <phoneticPr fontId="2"/>
  </si>
  <si>
    <t>南館</t>
  </si>
  <si>
    <t>南館</t>
    <phoneticPr fontId="2"/>
  </si>
  <si>
    <t>6F</t>
  </si>
  <si>
    <t>資料館</t>
    <rPh sb="0" eb="3">
      <t>シリョウカン</t>
    </rPh>
    <phoneticPr fontId="2"/>
  </si>
  <si>
    <t>2-4F</t>
    <phoneticPr fontId="2"/>
  </si>
  <si>
    <t>西館</t>
  </si>
  <si>
    <t>西館</t>
    <phoneticPr fontId="2"/>
  </si>
  <si>
    <t>4-5F</t>
    <phoneticPr fontId="2"/>
  </si>
  <si>
    <t>B1F</t>
  </si>
  <si>
    <t>B1F</t>
    <phoneticPr fontId="2"/>
  </si>
  <si>
    <t>総合研究棟</t>
    <rPh sb="0" eb="2">
      <t>ソウゴウ</t>
    </rPh>
    <rPh sb="2" eb="4">
      <t>ケンキュウ</t>
    </rPh>
    <rPh sb="4" eb="5">
      <t>トウ</t>
    </rPh>
    <phoneticPr fontId="2"/>
  </si>
  <si>
    <t>本館</t>
    <rPh sb="0" eb="2">
      <t>ホンカン</t>
    </rPh>
    <phoneticPr fontId="2"/>
  </si>
  <si>
    <t>西館</t>
    <rPh sb="0" eb="2">
      <t>ニシカン</t>
    </rPh>
    <phoneticPr fontId="2"/>
  </si>
  <si>
    <t>南館</t>
    <rPh sb="0" eb="2">
      <t>ミナミカン</t>
    </rPh>
    <phoneticPr fontId="2"/>
  </si>
  <si>
    <t>２１９２５</t>
  </si>
  <si>
    <t>２４８５９</t>
  </si>
  <si>
    <t>２４７２０</t>
  </si>
  <si>
    <t>２４８１０</t>
  </si>
  <si>
    <t>２４８４０</t>
  </si>
  <si>
    <t>２４８３０</t>
  </si>
  <si>
    <t/>
  </si>
  <si>
    <t>２４８２０</t>
  </si>
  <si>
    <t>２４７６０</t>
  </si>
  <si>
    <t>２４７６８</t>
  </si>
  <si>
    <t>２４７３０</t>
  </si>
  <si>
    <t>２４８０３</t>
  </si>
  <si>
    <t>２４７７０</t>
  </si>
  <si>
    <t>２０７３２</t>
  </si>
  <si>
    <t>２４７８０</t>
  </si>
  <si>
    <t>２４７４０</t>
  </si>
  <si>
    <t>２４８７８</t>
  </si>
  <si>
    <t>２４８６０</t>
  </si>
  <si>
    <t>２４８６８</t>
  </si>
  <si>
    <t>２４８７０</t>
  </si>
  <si>
    <t>２１３５４</t>
  </si>
  <si>
    <t>２４８５０</t>
  </si>
  <si>
    <t>２１６９２</t>
  </si>
  <si>
    <t>２０２８１</t>
  </si>
  <si>
    <t>２４７５８</t>
  </si>
  <si>
    <t>２２２７１</t>
  </si>
  <si>
    <t>２７６２０</t>
  </si>
  <si>
    <t>２４７０５</t>
  </si>
  <si>
    <t>２４８５８</t>
  </si>
  <si>
    <t>２４７２２</t>
  </si>
  <si>
    <t>２４８１２</t>
  </si>
  <si>
    <t>２４８４２</t>
  </si>
  <si>
    <t>２４８３３</t>
  </si>
  <si>
    <t>２４８２３</t>
  </si>
  <si>
    <t>２４７６２</t>
  </si>
  <si>
    <t>２４７８３</t>
  </si>
  <si>
    <t>２４７４３</t>
  </si>
  <si>
    <t>２１９６０</t>
  </si>
  <si>
    <t>２４８６３</t>
  </si>
  <si>
    <t>２４８５３</t>
  </si>
  <si>
    <t>２４８８３</t>
  </si>
  <si>
    <t>２１６９１</t>
  </si>
  <si>
    <t>２０６０８</t>
  </si>
  <si>
    <t>２４８２８</t>
  </si>
  <si>
    <t>B1,1F</t>
  </si>
  <si>
    <t>2,3F</t>
  </si>
  <si>
    <t>4,5F</t>
  </si>
  <si>
    <t>4F</t>
  </si>
  <si>
    <t>7F</t>
  </si>
  <si>
    <t>8F</t>
  </si>
  <si>
    <t>9F</t>
  </si>
  <si>
    <t>10F</t>
  </si>
  <si>
    <t>1F</t>
  </si>
  <si>
    <t>担当者／内線番号</t>
    <rPh sb="0" eb="3">
      <t>タントウシャ</t>
    </rPh>
    <rPh sb="4" eb="6">
      <t>ナイセン</t>
    </rPh>
    <rPh sb="6" eb="8">
      <t>バンゴウ</t>
    </rPh>
    <phoneticPr fontId="2"/>
  </si>
  <si>
    <t>佐藤（育薬）
22271</t>
    <rPh sb="3" eb="5">
      <t>イクヤク</t>
    </rPh>
    <phoneticPr fontId="2"/>
  </si>
  <si>
    <t>内線番号</t>
    <rPh sb="0" eb="2">
      <t>ナイセン</t>
    </rPh>
    <rPh sb="2" eb="4">
      <t>バンゴウ</t>
    </rPh>
    <phoneticPr fontId="2"/>
  </si>
  <si>
    <t>平山助教</t>
    <rPh sb="0" eb="2">
      <t>ヒラヤマ</t>
    </rPh>
    <rPh sb="2" eb="4">
      <t>ジョキョウ</t>
    </rPh>
    <phoneticPr fontId="4"/>
  </si>
  <si>
    <t>村上（免疫）
24823</t>
    <rPh sb="0" eb="2">
      <t>ムラカミ</t>
    </rPh>
    <rPh sb="3" eb="5">
      <t>メンエキ</t>
    </rPh>
    <phoneticPr fontId="2"/>
  </si>
  <si>
    <t>河野准教授</t>
    <rPh sb="0" eb="2">
      <t>コウノ</t>
    </rPh>
    <rPh sb="2" eb="5">
      <t>ジュンキョウジュ</t>
    </rPh>
    <phoneticPr fontId="4"/>
  </si>
  <si>
    <t xml:space="preserve">藤澤（細情）
24858
</t>
    <rPh sb="0" eb="2">
      <t>フジサワ</t>
    </rPh>
    <rPh sb="3" eb="4">
      <t>ホソ</t>
    </rPh>
    <rPh sb="4" eb="5">
      <t>ジョウ</t>
    </rPh>
    <phoneticPr fontId="2"/>
  </si>
  <si>
    <t>北川教授</t>
    <rPh sb="0" eb="2">
      <t>キタガワ</t>
    </rPh>
    <rPh sb="2" eb="4">
      <t>キョウジュ</t>
    </rPh>
    <phoneticPr fontId="2"/>
  </si>
  <si>
    <t>五所講師</t>
    <rPh sb="0" eb="2">
      <t>ゴショ</t>
    </rPh>
    <rPh sb="2" eb="4">
      <t>コウシ</t>
    </rPh>
    <phoneticPr fontId="2"/>
  </si>
  <si>
    <t>五所講師</t>
    <rPh sb="0" eb="2">
      <t>ゴショ</t>
    </rPh>
    <rPh sb="2" eb="4">
      <t>コウシ</t>
    </rPh>
    <phoneticPr fontId="2"/>
  </si>
  <si>
    <t>宮地特任教授</t>
    <rPh sb="0" eb="2">
      <t>ミヤジ</t>
    </rPh>
    <rPh sb="2" eb="4">
      <t>トクニン</t>
    </rPh>
    <rPh sb="4" eb="6">
      <t>キョウジュ</t>
    </rPh>
    <phoneticPr fontId="2"/>
  </si>
  <si>
    <t>miyachi_hiroyuki@mol.f.u-tokyo.ac.jp</t>
  </si>
  <si>
    <t>定量生命科学</t>
    <phoneticPr fontId="2"/>
  </si>
  <si>
    <t>umeji@mol.f.u-tokyo.ac.jp</t>
    <phoneticPr fontId="2"/>
  </si>
  <si>
    <t>内山聖一研究室</t>
    <rPh sb="0" eb="2">
      <t>ウチヤマ</t>
    </rPh>
    <rPh sb="2" eb="4">
      <t>セイイチ</t>
    </rPh>
    <rPh sb="4" eb="7">
      <t>ケンキュウシツ</t>
    </rPh>
    <phoneticPr fontId="4"/>
  </si>
  <si>
    <t>生長講師</t>
    <rPh sb="0" eb="1">
      <t>イ</t>
    </rPh>
    <rPh sb="1" eb="2">
      <t>ナガ</t>
    </rPh>
    <rPh sb="2" eb="4">
      <t>コウシ</t>
    </rPh>
    <phoneticPr fontId="2"/>
  </si>
  <si>
    <t>oisaki@mol.f.u-tokyo.ac.jp</t>
    <phoneticPr fontId="2"/>
  </si>
  <si>
    <t>LAN管理者</t>
    <rPh sb="3" eb="6">
      <t>カンリシャ</t>
    </rPh>
    <phoneticPr fontId="4"/>
  </si>
  <si>
    <t>takita@mol.f.u-tokyo.ac.jp</t>
    <phoneticPr fontId="2"/>
  </si>
  <si>
    <t>２４７５３</t>
    <phoneticPr fontId="2"/>
  </si>
  <si>
    <t>２４８９７</t>
    <phoneticPr fontId="2"/>
  </si>
  <si>
    <t>２０２７９</t>
    <phoneticPr fontId="2"/>
  </si>
  <si>
    <t>２１９５５</t>
    <phoneticPr fontId="2"/>
  </si>
  <si>
    <t>２１０８９</t>
    <phoneticPr fontId="2"/>
  </si>
  <si>
    <t>chaowang@mol.f.u-tokyo.ac.jp</t>
    <phoneticPr fontId="2"/>
  </si>
  <si>
    <t>産学連携共同研究室（塩野義）</t>
    <rPh sb="0" eb="2">
      <t>サンガク</t>
    </rPh>
    <rPh sb="2" eb="4">
      <t>レンケイ</t>
    </rPh>
    <rPh sb="4" eb="6">
      <t>キョウドウ</t>
    </rPh>
    <rPh sb="6" eb="9">
      <t>ケンキュウシツ</t>
    </rPh>
    <rPh sb="10" eb="13">
      <t>シオノギ</t>
    </rPh>
    <phoneticPr fontId="2"/>
  </si>
  <si>
    <t>武本客員教授</t>
    <rPh sb="0" eb="2">
      <t>タケモト</t>
    </rPh>
    <rPh sb="2" eb="4">
      <t>キャクイン</t>
    </rPh>
    <rPh sb="4" eb="6">
      <t>キョウジュ</t>
    </rPh>
    <phoneticPr fontId="2"/>
  </si>
  <si>
    <t>２１０７１</t>
    <phoneticPr fontId="2"/>
  </si>
  <si>
    <t>B1F他</t>
    <rPh sb="3" eb="4">
      <t>ホカ</t>
    </rPh>
    <phoneticPr fontId="2"/>
  </si>
  <si>
    <t>脳神経疾患治療学</t>
    <rPh sb="0" eb="1">
      <t>ノウ</t>
    </rPh>
    <rPh sb="1" eb="3">
      <t>シンケイ</t>
    </rPh>
    <rPh sb="3" eb="5">
      <t>シッカン</t>
    </rPh>
    <rPh sb="5" eb="7">
      <t>チリョウ</t>
    </rPh>
    <rPh sb="7" eb="8">
      <t>ガク</t>
    </rPh>
    <phoneticPr fontId="2"/>
  </si>
  <si>
    <t>伊藤特任講師</t>
    <rPh sb="0" eb="2">
      <t>イトウ</t>
    </rPh>
    <rPh sb="2" eb="4">
      <t>トクニン</t>
    </rPh>
    <rPh sb="4" eb="6">
      <t>コウシ</t>
    </rPh>
    <phoneticPr fontId="2"/>
  </si>
  <si>
    <t>備考</t>
    <rPh sb="0" eb="2">
      <t>ビコウ</t>
    </rPh>
    <phoneticPr fontId="2"/>
  </si>
  <si>
    <t>病態とみなす</t>
    <rPh sb="0" eb="2">
      <t>ビョウタイ</t>
    </rPh>
    <phoneticPr fontId="2"/>
  </si>
  <si>
    <t>hiroshi.takemoto@mol.f.u-tokyo.ac.jp</t>
    <phoneticPr fontId="2"/>
  </si>
  <si>
    <t>genta@mol.f.u-tokyo.ac.jp</t>
    <phoneticPr fontId="2"/>
  </si>
  <si>
    <t>２４８７７</t>
    <phoneticPr fontId="2"/>
  </si>
  <si>
    <t>国際卓越大学院</t>
    <rPh sb="0" eb="2">
      <t>コクサイ</t>
    </rPh>
    <rPh sb="2" eb="4">
      <t>タクエツ</t>
    </rPh>
    <rPh sb="4" eb="7">
      <t>ダイガクイン</t>
    </rPh>
    <phoneticPr fontId="2"/>
  </si>
  <si>
    <t>南館</t>
    <phoneticPr fontId="2"/>
  </si>
  <si>
    <t>4F</t>
    <phoneticPr fontId="2"/>
  </si>
  <si>
    <t>關野特任教授</t>
    <phoneticPr fontId="2"/>
  </si>
  <si>
    <t>加藤技術補佐員</t>
    <phoneticPr fontId="2"/>
  </si>
  <si>
    <t>２４３５５</t>
    <phoneticPr fontId="2"/>
  </si>
  <si>
    <t>e-kato@mol.f.u-tokyo.ac.jp</t>
    <phoneticPr fontId="2"/>
  </si>
  <si>
    <t>三本（事務）
21982</t>
    <rPh sb="0" eb="2">
      <t>ミツモト</t>
    </rPh>
    <rPh sb="3" eb="5">
      <t>ジム</t>
    </rPh>
    <phoneticPr fontId="2"/>
  </si>
  <si>
    <t>先端創薬棟</t>
    <rPh sb="0" eb="2">
      <t>センタン</t>
    </rPh>
    <rPh sb="2" eb="5">
      <t>ソウヤクトウ</t>
    </rPh>
    <phoneticPr fontId="2"/>
  </si>
  <si>
    <t>ITHC</t>
    <phoneticPr fontId="4"/>
  </si>
  <si>
    <t>（楠原教授）</t>
    <rPh sb="1" eb="3">
      <t>クスハラ</t>
    </rPh>
    <rPh sb="3" eb="5">
      <t>キョウジュ</t>
    </rPh>
    <phoneticPr fontId="4"/>
  </si>
  <si>
    <t>小島特任教授</t>
    <rPh sb="0" eb="2">
      <t>コジマ</t>
    </rPh>
    <rPh sb="2" eb="4">
      <t>トクニン</t>
    </rPh>
    <rPh sb="4" eb="6">
      <t>キョウジュ</t>
    </rPh>
    <phoneticPr fontId="4"/>
  </si>
  <si>
    <t>２４７５０</t>
    <phoneticPr fontId="2"/>
  </si>
  <si>
    <t>lida-ngt@mol.f.u-tokyo.ac.jp</t>
    <phoneticPr fontId="2"/>
  </si>
  <si>
    <t>ntyanagi@gmail.com</t>
    <phoneticPr fontId="2"/>
  </si>
  <si>
    <t>柳特任助教</t>
    <rPh sb="0" eb="1">
      <t>ヤナギ</t>
    </rPh>
    <rPh sb="1" eb="3">
      <t>トクニン</t>
    </rPh>
    <rPh sb="3" eb="5">
      <t>ジョキョウ</t>
    </rPh>
    <phoneticPr fontId="4"/>
  </si>
  <si>
    <t>滝田准教授</t>
    <rPh sb="2" eb="5">
      <t>ジュンキョウジュ</t>
    </rPh>
    <phoneticPr fontId="2"/>
  </si>
  <si>
    <t>上田准教授</t>
    <rPh sb="0" eb="2">
      <t>ウエダ</t>
    </rPh>
    <rPh sb="2" eb="5">
      <t>ジュンキョウジュ</t>
    </rPh>
    <phoneticPr fontId="4"/>
  </si>
  <si>
    <t>淡川准教授</t>
    <rPh sb="0" eb="2">
      <t>アワカワ</t>
    </rPh>
    <rPh sb="2" eb="5">
      <t>ジュンキョウジュ</t>
    </rPh>
    <phoneticPr fontId="4"/>
  </si>
  <si>
    <t>今村特任教授</t>
    <rPh sb="0" eb="2">
      <t>イマムラ</t>
    </rPh>
    <rPh sb="2" eb="4">
      <t>トクニン</t>
    </rPh>
    <rPh sb="4" eb="6">
      <t>キョウジュ</t>
    </rPh>
    <phoneticPr fontId="4"/>
  </si>
  <si>
    <t>伊藤（天合）
21925</t>
    <rPh sb="0" eb="2">
      <t>イトウ</t>
    </rPh>
    <rPh sb="3" eb="4">
      <t>テン</t>
    </rPh>
    <rPh sb="4" eb="5">
      <t>ゴウ</t>
    </rPh>
    <phoneticPr fontId="2"/>
  </si>
  <si>
    <t>天然物合成化学</t>
    <rPh sb="0" eb="2">
      <t>テンネン</t>
    </rPh>
    <rPh sb="2" eb="3">
      <t>ブツ</t>
    </rPh>
    <rPh sb="3" eb="5">
      <t>ゴウセイ</t>
    </rPh>
    <rPh sb="5" eb="7">
      <t>カガク</t>
    </rPh>
    <phoneticPr fontId="4"/>
  </si>
  <si>
    <t>水野（動態）
24771</t>
    <rPh sb="0" eb="2">
      <t>ミズノ</t>
    </rPh>
    <rPh sb="3" eb="5">
      <t>ドウタイ</t>
    </rPh>
    <phoneticPr fontId="2"/>
  </si>
  <si>
    <t>岸講師</t>
    <rPh sb="0" eb="1">
      <t>キシ</t>
    </rPh>
    <rPh sb="1" eb="3">
      <t>コウシ</t>
    </rPh>
    <phoneticPr fontId="4"/>
  </si>
  <si>
    <t>畠特任講師</t>
    <rPh sb="0" eb="1">
      <t>ハタ</t>
    </rPh>
    <rPh sb="1" eb="3">
      <t>トクニン</t>
    </rPh>
    <rPh sb="3" eb="5">
      <t>コウシ</t>
    </rPh>
    <phoneticPr fontId="2"/>
  </si>
  <si>
    <t>小野准教授</t>
    <rPh sb="0" eb="2">
      <t>オノ</t>
    </rPh>
    <rPh sb="2" eb="5">
      <t>ジュンキョウジュ</t>
    </rPh>
    <phoneticPr fontId="4"/>
  </si>
  <si>
    <t>佐藤特任准教授</t>
    <rPh sb="0" eb="2">
      <t>サトウ</t>
    </rPh>
    <rPh sb="2" eb="4">
      <t>トクニン</t>
    </rPh>
    <rPh sb="4" eb="7">
      <t>ジュンキョウジュ</t>
    </rPh>
    <phoneticPr fontId="4"/>
  </si>
  <si>
    <t>竹内特任准教授</t>
    <rPh sb="0" eb="2">
      <t>タケウチ</t>
    </rPh>
    <rPh sb="4" eb="5">
      <t>ジュン</t>
    </rPh>
    <phoneticPr fontId="2"/>
  </si>
  <si>
    <t>２４７８４</t>
    <phoneticPr fontId="2"/>
  </si>
  <si>
    <t>化学物質安全性評価学ｼｽﾃﾑ構築</t>
    <rPh sb="0" eb="2">
      <t>カガク</t>
    </rPh>
    <rPh sb="2" eb="4">
      <t>ブッシツ</t>
    </rPh>
    <rPh sb="4" eb="7">
      <t>アンゼンセイ</t>
    </rPh>
    <rPh sb="7" eb="9">
      <t>ヒョウカ</t>
    </rPh>
    <rPh sb="9" eb="10">
      <t>ガク</t>
    </rPh>
    <rPh sb="14" eb="16">
      <t>コウチク</t>
    </rPh>
    <phoneticPr fontId="2"/>
  </si>
  <si>
    <t>医療薬学教育ｾﾝﾀｰ</t>
    <rPh sb="0" eb="2">
      <t>イリョウ</t>
    </rPh>
    <rPh sb="2" eb="4">
      <t>ヤクガク</t>
    </rPh>
    <rPh sb="4" eb="6">
      <t>キョウイク</t>
    </rPh>
    <phoneticPr fontId="2"/>
  </si>
  <si>
    <t>ﾋﾄ細胞創薬学</t>
    <rPh sb="4" eb="6">
      <t>ソウヤク</t>
    </rPh>
    <rPh sb="6" eb="7">
      <t>ガク</t>
    </rPh>
    <phoneticPr fontId="2"/>
  </si>
  <si>
    <t>ﾜﾝｽﾄｯﾌﾟ創薬共用ﾌｧｼﾘﾃｨｾﾝﾀｰ</t>
    <rPh sb="7" eb="8">
      <t>ソウ</t>
    </rPh>
    <rPh sb="8" eb="9">
      <t>ヤク</t>
    </rPh>
    <rPh sb="9" eb="11">
      <t>キョウヨウ</t>
    </rPh>
    <phoneticPr fontId="2"/>
  </si>
  <si>
    <t>創薬機構（構造展開ﾕﾆｯﾄ）</t>
    <rPh sb="0" eb="1">
      <t>ソウ</t>
    </rPh>
    <rPh sb="1" eb="2">
      <t>ヤク</t>
    </rPh>
    <rPh sb="2" eb="4">
      <t>キコウ</t>
    </rPh>
    <rPh sb="5" eb="7">
      <t>コウゾウ</t>
    </rPh>
    <rPh sb="7" eb="9">
      <t>テンカイ</t>
    </rPh>
    <phoneticPr fontId="4"/>
  </si>
  <si>
    <t>藤澤助教</t>
    <rPh sb="0" eb="2">
      <t>フジサワ</t>
    </rPh>
    <rPh sb="2" eb="4">
      <t>ジョキョウ</t>
    </rPh>
    <phoneticPr fontId="2"/>
  </si>
  <si>
    <t>fujisawa@mol.f.u-tokyo.ac.jp</t>
    <phoneticPr fontId="2"/>
  </si>
  <si>
    <t>s.hata@mol.f.u-tokyo.ac.jp</t>
    <phoneticPr fontId="2"/>
  </si>
  <si>
    <t>青木教授</t>
    <rPh sb="0" eb="2">
      <t>アオキ</t>
    </rPh>
    <rPh sb="2" eb="4">
      <t>キョウジュ</t>
    </rPh>
    <phoneticPr fontId="4"/>
  </si>
  <si>
    <t>王助教</t>
    <rPh sb="0" eb="1">
      <t>オウ</t>
    </rPh>
    <rPh sb="1" eb="3">
      <t>ジョキョウ</t>
    </rPh>
    <phoneticPr fontId="2"/>
  </si>
  <si>
    <t>佐々木特任准教授</t>
    <rPh sb="0" eb="3">
      <t>ササキ</t>
    </rPh>
    <rPh sb="3" eb="5">
      <t>トクニン</t>
    </rPh>
    <rPh sb="5" eb="8">
      <t>ジュンキョウジュ</t>
    </rPh>
    <phoneticPr fontId="4"/>
  </si>
  <si>
    <t>折原特任研究員</t>
    <rPh sb="0" eb="2">
      <t>オリハラ</t>
    </rPh>
    <rPh sb="2" eb="4">
      <t>トクニン</t>
    </rPh>
    <rPh sb="4" eb="7">
      <t>ケンキュウイン</t>
    </rPh>
    <phoneticPr fontId="4"/>
  </si>
  <si>
    <t>鈴木係長</t>
    <rPh sb="0" eb="2">
      <t>スズキ</t>
    </rPh>
    <rPh sb="2" eb="4">
      <t>カカリチョウ</t>
    </rPh>
    <phoneticPr fontId="2"/>
  </si>
  <si>
    <t>滕特任助教</t>
    <rPh sb="1" eb="3">
      <t>トクニン</t>
    </rPh>
    <rPh sb="3" eb="5">
      <t>ジョキョウ</t>
    </rPh>
    <phoneticPr fontId="4"/>
  </si>
  <si>
    <t>okabe@mol.f.u-tokyo.ac.jp</t>
    <phoneticPr fontId="2"/>
  </si>
  <si>
    <t>水野助教</t>
    <rPh sb="0" eb="2">
      <t>ミズノ</t>
    </rPh>
    <rPh sb="2" eb="4">
      <t>ジョキョウ</t>
    </rPh>
    <phoneticPr fontId="4"/>
  </si>
  <si>
    <t>２４７７１</t>
    <phoneticPr fontId="2"/>
  </si>
  <si>
    <t>tadahaya@mol.f.u-tokyo.ac.jp</t>
    <phoneticPr fontId="2"/>
  </si>
  <si>
    <t>jokos@mol.f.u-tokyo.ac.jp</t>
    <phoneticPr fontId="2"/>
  </si>
  <si>
    <t>上甲特任研究員</t>
    <rPh sb="0" eb="2">
      <t>ジョウコウ</t>
    </rPh>
    <rPh sb="2" eb="4">
      <t>トクニン</t>
    </rPh>
    <rPh sb="4" eb="7">
      <t>ケンキュウイン</t>
    </rPh>
    <phoneticPr fontId="2"/>
  </si>
  <si>
    <t>kashio-s@mol.f.u-tokyo.ac.jp</t>
    <phoneticPr fontId="2"/>
  </si>
  <si>
    <t>樫尾助教</t>
    <rPh sb="0" eb="2">
      <t>カシオ</t>
    </rPh>
    <rPh sb="2" eb="4">
      <t>ジョキョウ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</si>
</sst>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\(0\)"/>
  </numFmts>
  <fonts count="61" x14ac:knownFonts="1">
    <font>
      <sz val="11"/>
      <name val="ＭＳ 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u/>
      <sz val="11"/>
      <color indexed="12"/>
      <name val="ＭＳ Ｐゴシック"/>
      <family val="3"/>
      <charset val="128"/>
    </font>
    <font>
      <sz val="10"/>
      <name val="メイリオ"/>
      <family val="3"/>
      <charset val="128"/>
    </font>
    <font>
      <sz val="10"/>
      <name val="ＭＳ Ｐゴシック"/>
      <family val="3"/>
      <charset val="128"/>
    </font>
    <font>
      <sz val="10.5"/>
      <name val="游ゴシック"/>
      <family val="3"/>
      <charset val="128"/>
    </font>
    <font>
      <sz val="10"/>
      <color theme="1"/>
      <name val="メイリオ"/>
      <family val="3"/>
      <charset val="128"/>
    </font>
  </fonts>
  <fills count="6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34">
    <xf numFmtId="0" fontId="0" fillId="0" borderId="0"/>
    <xf numFmtId="0" fontId="6" fillId="2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24" fillId="37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24" fillId="41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24" fillId="43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24" fillId="44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24" fillId="4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24" fillId="46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24" fillId="4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9" fillId="23" borderId="1" applyNumberFormat="0" applyAlignment="0" applyProtection="0">
      <alignment vertical="center"/>
    </xf>
    <xf numFmtId="0" fontId="26" fillId="48" borderId="11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7" fillId="49" borderId="0" applyNumberFormat="0" applyBorder="0" applyAlignment="0" applyProtection="0">
      <alignment vertical="center"/>
    </xf>
    <xf numFmtId="0" fontId="6" fillId="6" borderId="2" applyNumberFormat="0" applyFont="0" applyAlignment="0" applyProtection="0">
      <alignment vertical="center"/>
    </xf>
    <xf numFmtId="0" fontId="23" fillId="50" borderId="12" applyNumberFormat="0" applyFont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13" fillId="10" borderId="4" applyNumberFormat="0" applyAlignment="0" applyProtection="0">
      <alignment vertical="center"/>
    </xf>
    <xf numFmtId="0" fontId="30" fillId="52" borderId="14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35" fillId="0" borderId="18" applyNumberFormat="0" applyFill="0" applyAlignment="0" applyProtection="0">
      <alignment vertical="center"/>
    </xf>
    <xf numFmtId="0" fontId="19" fillId="10" borderId="9" applyNumberFormat="0" applyAlignment="0" applyProtection="0">
      <alignment vertical="center"/>
    </xf>
    <xf numFmtId="0" fontId="36" fillId="52" borderId="19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1" fillId="4" borderId="4" applyNumberFormat="0" applyAlignment="0" applyProtection="0">
      <alignment vertical="center"/>
    </xf>
    <xf numFmtId="0" fontId="38" fillId="53" borderId="14" applyNumberFormat="0" applyAlignment="0" applyProtection="0">
      <alignment vertical="center"/>
    </xf>
    <xf numFmtId="0" fontId="23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22" fillId="5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" fillId="0" borderId="0"/>
    <xf numFmtId="0" fontId="1" fillId="0" borderId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42" fillId="0" borderId="16" applyNumberFormat="0" applyFill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54" borderId="0" applyNumberFormat="0" applyBorder="0" applyAlignment="0" applyProtection="0">
      <alignment vertical="center"/>
    </xf>
    <xf numFmtId="0" fontId="45" fillId="51" borderId="0" applyNumberFormat="0" applyBorder="0" applyAlignment="0" applyProtection="0">
      <alignment vertical="center"/>
    </xf>
    <xf numFmtId="0" fontId="46" fillId="49" borderId="0" applyNumberFormat="0" applyBorder="0" applyAlignment="0" applyProtection="0">
      <alignment vertical="center"/>
    </xf>
    <xf numFmtId="0" fontId="47" fillId="53" borderId="14" applyNumberFormat="0" applyAlignment="0" applyProtection="0">
      <alignment vertical="center"/>
    </xf>
    <xf numFmtId="0" fontId="48" fillId="52" borderId="19" applyNumberFormat="0" applyAlignment="0" applyProtection="0">
      <alignment vertical="center"/>
    </xf>
    <xf numFmtId="0" fontId="49" fillId="52" borderId="14" applyNumberFormat="0" applyAlignment="0" applyProtection="0">
      <alignment vertical="center"/>
    </xf>
    <xf numFmtId="0" fontId="50" fillId="0" borderId="13" applyNumberFormat="0" applyFill="0" applyAlignment="0" applyProtection="0">
      <alignment vertical="center"/>
    </xf>
    <xf numFmtId="0" fontId="51" fillId="48" borderId="11" applyNumberFormat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1" fillId="50" borderId="12" applyNumberFormat="0" applyFont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4" fillId="0" borderId="18" applyNumberFormat="0" applyFill="0" applyAlignment="0" applyProtection="0">
      <alignment vertical="center"/>
    </xf>
    <xf numFmtId="0" fontId="55" fillId="42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55" fillId="36" borderId="0" applyNumberFormat="0" applyBorder="0" applyAlignment="0" applyProtection="0">
      <alignment vertical="center"/>
    </xf>
    <xf numFmtId="0" fontId="55" fillId="43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55" fillId="37" borderId="0" applyNumberFormat="0" applyBorder="0" applyAlignment="0" applyProtection="0">
      <alignment vertical="center"/>
    </xf>
    <xf numFmtId="0" fontId="55" fillId="44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55" fillId="38" borderId="0" applyNumberFormat="0" applyBorder="0" applyAlignment="0" applyProtection="0">
      <alignment vertical="center"/>
    </xf>
    <xf numFmtId="0" fontId="55" fillId="45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55" fillId="39" borderId="0" applyNumberFormat="0" applyBorder="0" applyAlignment="0" applyProtection="0">
      <alignment vertical="center"/>
    </xf>
    <xf numFmtId="0" fontId="55" fillId="46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55" fillId="40" borderId="0" applyNumberFormat="0" applyBorder="0" applyAlignment="0" applyProtection="0">
      <alignment vertical="center"/>
    </xf>
    <xf numFmtId="0" fontId="55" fillId="47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55" fillId="41" borderId="0" applyNumberFormat="0" applyBorder="0" applyAlignment="0" applyProtection="0">
      <alignment vertical="center"/>
    </xf>
    <xf numFmtId="0" fontId="3" fillId="0" borderId="0">
      <alignment vertical="center"/>
    </xf>
    <xf numFmtId="0" fontId="56" fillId="0" borderId="0" applyNumberFormat="0" applyFill="0" applyBorder="0" applyAlignment="0" applyProtection="0">
      <alignment vertical="top"/>
      <protection locked="0"/>
    </xf>
  </cellStyleXfs>
  <cellXfs count="63">
    <xf numFmtId="0" fontId="0" fillId="0" borderId="0" xfId="0"/>
    <xf numFmtId="0" fontId="3" fillId="0" borderId="0" xfId="89"/>
    <xf numFmtId="0" fontId="56" fillId="0" borderId="0" xfId="133" applyAlignment="1" applyProtection="1"/>
    <xf numFmtId="0" fontId="23" fillId="0" borderId="0" xfId="81">
      <alignment vertical="center"/>
    </xf>
    <xf numFmtId="0" fontId="3" fillId="0" borderId="0" xfId="132">
      <alignment vertical="center"/>
    </xf>
    <xf numFmtId="0" fontId="3" fillId="0" borderId="0" xfId="82">
      <alignment vertical="center"/>
    </xf>
    <xf numFmtId="0" fontId="5" fillId="0" borderId="0" xfId="83">
      <alignment vertical="center"/>
    </xf>
    <xf numFmtId="0" fontId="3" fillId="0" borderId="0" xfId="84">
      <alignment vertical="center"/>
    </xf>
    <xf numFmtId="0" fontId="3" fillId="0" borderId="0" xfId="85">
      <alignment vertical="center"/>
    </xf>
    <xf numFmtId="0" fontId="5" fillId="0" borderId="0" xfId="86">
      <alignment vertical="center"/>
    </xf>
    <xf numFmtId="0" fontId="57" fillId="0" borderId="0" xfId="132" applyFont="1" applyFill="1" applyAlignment="1">
      <alignment horizontal="left" vertical="center"/>
    </xf>
    <xf numFmtId="0" fontId="57" fillId="0" borderId="0" xfId="132" applyFont="1" applyFill="1" applyBorder="1" applyAlignment="1">
      <alignment horizontal="left" vertical="center"/>
    </xf>
    <xf numFmtId="0" fontId="57" fillId="0" borderId="0" xfId="132" applyFont="1" applyFill="1" applyBorder="1" applyAlignment="1">
      <alignment horizontal="left" vertical="center" wrapText="1" shrinkToFit="1"/>
    </xf>
    <xf numFmtId="176" fontId="57" fillId="0" borderId="0" xfId="132" applyNumberFormat="1" applyFont="1" applyFill="1" applyAlignment="1">
      <alignment horizontal="left" vertical="center"/>
    </xf>
    <xf numFmtId="176" fontId="57" fillId="0" borderId="0" xfId="132" applyNumberFormat="1" applyFont="1" applyFill="1" applyBorder="1" applyAlignment="1">
      <alignment horizontal="left" vertical="center"/>
    </xf>
    <xf numFmtId="0" fontId="57" fillId="55" borderId="10" xfId="132" applyFont="1" applyFill="1" applyBorder="1" applyAlignment="1">
      <alignment horizontal="left" vertical="center"/>
    </xf>
    <xf numFmtId="0" fontId="57" fillId="55" borderId="10" xfId="0" applyFont="1" applyFill="1" applyBorder="1" applyAlignment="1">
      <alignment horizontal="left" vertical="center"/>
    </xf>
    <xf numFmtId="0" fontId="57" fillId="56" borderId="10" xfId="132" applyFont="1" applyFill="1" applyBorder="1" applyAlignment="1">
      <alignment horizontal="left" vertical="center"/>
    </xf>
    <xf numFmtId="0" fontId="57" fillId="56" borderId="10" xfId="0" applyFont="1" applyFill="1" applyBorder="1" applyAlignment="1">
      <alignment horizontal="left" vertical="center"/>
    </xf>
    <xf numFmtId="0" fontId="57" fillId="57" borderId="10" xfId="132" applyFont="1" applyFill="1" applyBorder="1" applyAlignment="1">
      <alignment horizontal="left" vertical="center"/>
    </xf>
    <xf numFmtId="0" fontId="57" fillId="57" borderId="10" xfId="0" applyFont="1" applyFill="1" applyBorder="1" applyAlignment="1">
      <alignment horizontal="left" vertical="center"/>
    </xf>
    <xf numFmtId="0" fontId="57" fillId="58" borderId="10" xfId="132" applyFont="1" applyFill="1" applyBorder="1" applyAlignment="1">
      <alignment horizontal="left" vertical="center"/>
    </xf>
    <xf numFmtId="0" fontId="57" fillId="58" borderId="10" xfId="0" applyFont="1" applyFill="1" applyBorder="1" applyAlignment="1">
      <alignment horizontal="left" vertical="center"/>
    </xf>
    <xf numFmtId="49" fontId="58" fillId="58" borderId="10" xfId="0" applyNumberFormat="1" applyFont="1" applyFill="1" applyBorder="1" applyAlignment="1">
      <alignment horizontal="left" vertical="center"/>
    </xf>
    <xf numFmtId="0" fontId="57" fillId="58" borderId="10" xfId="133" applyFont="1" applyFill="1" applyBorder="1" applyAlignment="1" applyProtection="1">
      <alignment horizontal="left" vertical="center" shrinkToFit="1"/>
    </xf>
    <xf numFmtId="0" fontId="57" fillId="59" borderId="10" xfId="132" applyFont="1" applyFill="1" applyBorder="1" applyAlignment="1">
      <alignment horizontal="left" vertical="center"/>
    </xf>
    <xf numFmtId="0" fontId="57" fillId="59" borderId="10" xfId="0" applyFont="1" applyFill="1" applyBorder="1" applyAlignment="1">
      <alignment horizontal="left" vertical="center"/>
    </xf>
    <xf numFmtId="0" fontId="57" fillId="60" borderId="10" xfId="132" applyFont="1" applyFill="1" applyBorder="1" applyAlignment="1">
      <alignment horizontal="left" vertical="center"/>
    </xf>
    <xf numFmtId="0" fontId="57" fillId="60" borderId="10" xfId="133" applyFont="1" applyFill="1" applyBorder="1" applyAlignment="1" applyProtection="1">
      <alignment horizontal="left" vertical="center" shrinkToFit="1"/>
    </xf>
    <xf numFmtId="0" fontId="57" fillId="60" borderId="10" xfId="0" applyFont="1" applyFill="1" applyBorder="1" applyAlignment="1">
      <alignment horizontal="left" vertical="center"/>
    </xf>
    <xf numFmtId="49" fontId="57" fillId="57" borderId="10" xfId="132" applyNumberFormat="1" applyFont="1" applyFill="1" applyBorder="1" applyAlignment="1">
      <alignment horizontal="left" vertical="center"/>
    </xf>
    <xf numFmtId="49" fontId="57" fillId="0" borderId="0" xfId="132" applyNumberFormat="1" applyFont="1" applyFill="1" applyAlignment="1">
      <alignment horizontal="left" vertical="center"/>
    </xf>
    <xf numFmtId="49" fontId="57" fillId="0" borderId="0" xfId="132" applyNumberFormat="1" applyFont="1" applyFill="1" applyBorder="1" applyAlignment="1">
      <alignment horizontal="left" vertical="center"/>
    </xf>
    <xf numFmtId="49" fontId="57" fillId="55" borderId="10" xfId="132" applyNumberFormat="1" applyFont="1" applyFill="1" applyBorder="1" applyAlignment="1">
      <alignment horizontal="left" vertical="center"/>
    </xf>
    <xf numFmtId="49" fontId="57" fillId="56" borderId="10" xfId="132" applyNumberFormat="1" applyFont="1" applyFill="1" applyBorder="1" applyAlignment="1">
      <alignment horizontal="left" vertical="center"/>
    </xf>
    <xf numFmtId="49" fontId="57" fillId="58" borderId="10" xfId="132" applyNumberFormat="1" applyFont="1" applyFill="1" applyBorder="1" applyAlignment="1">
      <alignment horizontal="left" vertical="center"/>
    </xf>
    <xf numFmtId="49" fontId="57" fillId="59" borderId="10" xfId="132" applyNumberFormat="1" applyFont="1" applyFill="1" applyBorder="1" applyAlignment="1">
      <alignment horizontal="left" vertical="center"/>
    </xf>
    <xf numFmtId="49" fontId="57" fillId="60" borderId="10" xfId="132" applyNumberFormat="1" applyFont="1" applyFill="1" applyBorder="1" applyAlignment="1">
      <alignment horizontal="left" vertical="center"/>
    </xf>
    <xf numFmtId="0" fontId="57" fillId="58" borderId="10" xfId="133" applyFont="1" applyFill="1" applyBorder="1" applyAlignment="1" applyProtection="1">
      <alignment horizontal="left" vertical="center" wrapText="1" shrinkToFit="1"/>
    </xf>
    <xf numFmtId="0" fontId="57" fillId="59" borderId="10" xfId="132" applyFont="1" applyFill="1" applyBorder="1" applyAlignment="1">
      <alignment horizontal="left" vertical="center" shrinkToFit="1"/>
    </xf>
    <xf numFmtId="0" fontId="57" fillId="56" borderId="10" xfId="132" quotePrefix="1" applyFont="1" applyFill="1" applyBorder="1" applyAlignment="1">
      <alignment horizontal="left" vertical="center"/>
    </xf>
    <xf numFmtId="0" fontId="57" fillId="60" borderId="0" xfId="0" applyFont="1" applyFill="1"/>
    <xf numFmtId="0" fontId="59" fillId="60" borderId="20" xfId="0" applyFont="1" applyFill="1" applyBorder="1" applyAlignment="1">
      <alignment horizontal="center" vertical="center" wrapText="1"/>
    </xf>
    <xf numFmtId="0" fontId="59" fillId="60" borderId="21" xfId="0" applyFont="1" applyFill="1" applyBorder="1" applyAlignment="1">
      <alignment horizontal="center" vertical="center"/>
    </xf>
    <xf numFmtId="0" fontId="59" fillId="60" borderId="22" xfId="0" applyFont="1" applyFill="1" applyBorder="1" applyAlignment="1">
      <alignment horizontal="center" vertical="center"/>
    </xf>
    <xf numFmtId="0" fontId="59" fillId="55" borderId="20" xfId="0" applyFont="1" applyFill="1" applyBorder="1" applyAlignment="1">
      <alignment horizontal="center" vertical="center" wrapText="1"/>
    </xf>
    <xf numFmtId="0" fontId="59" fillId="55" borderId="21" xfId="0" applyFont="1" applyFill="1" applyBorder="1" applyAlignment="1">
      <alignment horizontal="center" vertical="center"/>
    </xf>
    <xf numFmtId="0" fontId="59" fillId="55" borderId="22" xfId="0" applyFont="1" applyFill="1" applyBorder="1" applyAlignment="1">
      <alignment horizontal="center" vertical="center"/>
    </xf>
    <xf numFmtId="0" fontId="59" fillId="56" borderId="20" xfId="0" applyFont="1" applyFill="1" applyBorder="1" applyAlignment="1">
      <alignment horizontal="center" vertical="center" wrapText="1"/>
    </xf>
    <xf numFmtId="0" fontId="59" fillId="56" borderId="21" xfId="0" applyFont="1" applyFill="1" applyBorder="1" applyAlignment="1">
      <alignment horizontal="center" vertical="center"/>
    </xf>
    <xf numFmtId="0" fontId="59" fillId="56" borderId="22" xfId="0" applyFont="1" applyFill="1" applyBorder="1" applyAlignment="1">
      <alignment horizontal="center" vertical="center"/>
    </xf>
    <xf numFmtId="0" fontId="59" fillId="59" borderId="20" xfId="0" applyFont="1" applyFill="1" applyBorder="1" applyAlignment="1">
      <alignment horizontal="center" vertical="center" wrapText="1"/>
    </xf>
    <xf numFmtId="0" fontId="59" fillId="59" borderId="21" xfId="0" applyFont="1" applyFill="1" applyBorder="1" applyAlignment="1">
      <alignment horizontal="center" vertical="center"/>
    </xf>
    <xf numFmtId="0" fontId="59" fillId="59" borderId="22" xfId="0" applyFont="1" applyFill="1" applyBorder="1" applyAlignment="1">
      <alignment horizontal="center" vertical="center"/>
    </xf>
    <xf numFmtId="0" fontId="59" fillId="58" borderId="20" xfId="0" applyFont="1" applyFill="1" applyBorder="1" applyAlignment="1">
      <alignment horizontal="center" vertical="center" wrapText="1"/>
    </xf>
    <xf numFmtId="0" fontId="59" fillId="58" borderId="21" xfId="0" applyFont="1" applyFill="1" applyBorder="1" applyAlignment="1">
      <alignment horizontal="center" vertical="center" wrapText="1"/>
    </xf>
    <xf numFmtId="0" fontId="59" fillId="58" borderId="22" xfId="0" applyFont="1" applyFill="1" applyBorder="1" applyAlignment="1">
      <alignment horizontal="center" vertical="center" wrapText="1"/>
    </xf>
    <xf numFmtId="0" fontId="57" fillId="57" borderId="20" xfId="132" applyFont="1" applyFill="1" applyBorder="1" applyAlignment="1">
      <alignment horizontal="center" vertical="center" wrapText="1"/>
    </xf>
    <xf numFmtId="0" fontId="57" fillId="57" borderId="21" xfId="132" applyFont="1" applyFill="1" applyBorder="1" applyAlignment="1">
      <alignment horizontal="center" vertical="center" wrapText="1"/>
    </xf>
    <xf numFmtId="0" fontId="57" fillId="61" borderId="0" xfId="132" applyFont="1" applyFill="1" applyAlignment="1">
      <alignment horizontal="left" vertical="center"/>
    </xf>
    <xf numFmtId="0" fontId="57" fillId="61" borderId="0" xfId="132" applyFont="1" applyFill="1" applyBorder="1" applyAlignment="1">
      <alignment horizontal="left" vertical="center"/>
    </xf>
    <xf numFmtId="0" fontId="60" fillId="61" borderId="10" xfId="132" applyFont="1" applyFill="1" applyBorder="1" applyAlignment="1">
      <alignment horizontal="left" vertical="center"/>
    </xf>
    <xf numFmtId="0" fontId="57" fillId="61" borderId="10" xfId="132" applyFont="1" applyFill="1" applyBorder="1" applyAlignment="1">
      <alignment horizontal="left" vertical="center"/>
    </xf>
  </cellXfs>
  <cellStyles count="134">
    <cellStyle name="20% - アクセント 1" xfId="1" builtinId="30" customBuiltin="1"/>
    <cellStyle name="20% - アクセント 1 2" xfId="2" xr:uid="{00000000-0005-0000-0000-000001000000}"/>
    <cellStyle name="20% - アクセント 1 3" xfId="109" xr:uid="{00000000-0005-0000-0000-000002000000}"/>
    <cellStyle name="20% - アクセント 2" xfId="3" builtinId="34" customBuiltin="1"/>
    <cellStyle name="20% - アクセント 2 2" xfId="4" xr:uid="{00000000-0005-0000-0000-000004000000}"/>
    <cellStyle name="20% - アクセント 2 3" xfId="113" xr:uid="{00000000-0005-0000-0000-000005000000}"/>
    <cellStyle name="20% - アクセント 3" xfId="5" builtinId="38" customBuiltin="1"/>
    <cellStyle name="20% - アクセント 3 2" xfId="6" xr:uid="{00000000-0005-0000-0000-000007000000}"/>
    <cellStyle name="20% - アクセント 3 3" xfId="117" xr:uid="{00000000-0005-0000-0000-000008000000}"/>
    <cellStyle name="20% - アクセント 4" xfId="7" builtinId="42" customBuiltin="1"/>
    <cellStyle name="20% - アクセント 4 2" xfId="8" xr:uid="{00000000-0005-0000-0000-00000A000000}"/>
    <cellStyle name="20% - アクセント 4 3" xfId="121" xr:uid="{00000000-0005-0000-0000-00000B000000}"/>
    <cellStyle name="20% - アクセント 5" xfId="9" builtinId="46" customBuiltin="1"/>
    <cellStyle name="20% - アクセント 5 2" xfId="10" xr:uid="{00000000-0005-0000-0000-00000D000000}"/>
    <cellStyle name="20% - アクセント 5 3" xfId="125" xr:uid="{00000000-0005-0000-0000-00000E000000}"/>
    <cellStyle name="20% - アクセント 6" xfId="11" builtinId="50" customBuiltin="1"/>
    <cellStyle name="20% - アクセント 6 2" xfId="12" xr:uid="{00000000-0005-0000-0000-000010000000}"/>
    <cellStyle name="20% - アクセント 6 3" xfId="129" xr:uid="{00000000-0005-0000-0000-000011000000}"/>
    <cellStyle name="40% - アクセント 1" xfId="13" builtinId="31" customBuiltin="1"/>
    <cellStyle name="40% - アクセント 1 2" xfId="14" xr:uid="{00000000-0005-0000-0000-000013000000}"/>
    <cellStyle name="40% - アクセント 1 3" xfId="110" xr:uid="{00000000-0005-0000-0000-000014000000}"/>
    <cellStyle name="40% - アクセント 2" xfId="15" builtinId="35" customBuiltin="1"/>
    <cellStyle name="40% - アクセント 2 2" xfId="16" xr:uid="{00000000-0005-0000-0000-000016000000}"/>
    <cellStyle name="40% - アクセント 2 3" xfId="114" xr:uid="{00000000-0005-0000-0000-000017000000}"/>
    <cellStyle name="40% - アクセント 3" xfId="17" builtinId="39" customBuiltin="1"/>
    <cellStyle name="40% - アクセント 3 2" xfId="18" xr:uid="{00000000-0005-0000-0000-000019000000}"/>
    <cellStyle name="40% - アクセント 3 3" xfId="118" xr:uid="{00000000-0005-0000-0000-00001A000000}"/>
    <cellStyle name="40% - アクセント 4" xfId="19" builtinId="43" customBuiltin="1"/>
    <cellStyle name="40% - アクセント 4 2" xfId="20" xr:uid="{00000000-0005-0000-0000-00001C000000}"/>
    <cellStyle name="40% - アクセント 4 3" xfId="122" xr:uid="{00000000-0005-0000-0000-00001D000000}"/>
    <cellStyle name="40% - アクセント 5" xfId="21" builtinId="47" customBuiltin="1"/>
    <cellStyle name="40% - アクセント 5 2" xfId="22" xr:uid="{00000000-0005-0000-0000-00001F000000}"/>
    <cellStyle name="40% - アクセント 5 3" xfId="126" xr:uid="{00000000-0005-0000-0000-000020000000}"/>
    <cellStyle name="40% - アクセント 6" xfId="23" builtinId="51" customBuiltin="1"/>
    <cellStyle name="40% - アクセント 6 2" xfId="24" xr:uid="{00000000-0005-0000-0000-000022000000}"/>
    <cellStyle name="40% - アクセント 6 3" xfId="130" xr:uid="{00000000-0005-0000-0000-000023000000}"/>
    <cellStyle name="60% - アクセント 1" xfId="25" builtinId="32" customBuiltin="1"/>
    <cellStyle name="60% - アクセント 1 2" xfId="26" xr:uid="{00000000-0005-0000-0000-000025000000}"/>
    <cellStyle name="60% - アクセント 1 3" xfId="111" xr:uid="{00000000-0005-0000-0000-000026000000}"/>
    <cellStyle name="60% - アクセント 2" xfId="27" builtinId="36" customBuiltin="1"/>
    <cellStyle name="60% - アクセント 2 2" xfId="28" xr:uid="{00000000-0005-0000-0000-000028000000}"/>
    <cellStyle name="60% - アクセント 2 3" xfId="115" xr:uid="{00000000-0005-0000-0000-000029000000}"/>
    <cellStyle name="60% - アクセント 3" xfId="29" builtinId="40" customBuiltin="1"/>
    <cellStyle name="60% - アクセント 3 2" xfId="30" xr:uid="{00000000-0005-0000-0000-00002B000000}"/>
    <cellStyle name="60% - アクセント 3 3" xfId="119" xr:uid="{00000000-0005-0000-0000-00002C000000}"/>
    <cellStyle name="60% - アクセント 4" xfId="31" builtinId="44" customBuiltin="1"/>
    <cellStyle name="60% - アクセント 4 2" xfId="32" xr:uid="{00000000-0005-0000-0000-00002E000000}"/>
    <cellStyle name="60% - アクセント 4 3" xfId="123" xr:uid="{00000000-0005-0000-0000-00002F000000}"/>
    <cellStyle name="60% - アクセント 5" xfId="33" builtinId="48" customBuiltin="1"/>
    <cellStyle name="60% - アクセント 5 2" xfId="34" xr:uid="{00000000-0005-0000-0000-000031000000}"/>
    <cellStyle name="60% - アクセント 5 3" xfId="127" xr:uid="{00000000-0005-0000-0000-000032000000}"/>
    <cellStyle name="60% - アクセント 6" xfId="35" builtinId="52" customBuiltin="1"/>
    <cellStyle name="60% - アクセント 6 2" xfId="36" xr:uid="{00000000-0005-0000-0000-000034000000}"/>
    <cellStyle name="60% - アクセント 6 3" xfId="131" xr:uid="{00000000-0005-0000-0000-000035000000}"/>
    <cellStyle name="アクセント 1" xfId="37" builtinId="29" customBuiltin="1"/>
    <cellStyle name="アクセント 1 2" xfId="38" xr:uid="{00000000-0005-0000-0000-000037000000}"/>
    <cellStyle name="アクセント 1 3" xfId="108" xr:uid="{00000000-0005-0000-0000-000038000000}"/>
    <cellStyle name="アクセント 2" xfId="39" builtinId="33" customBuiltin="1"/>
    <cellStyle name="アクセント 2 2" xfId="40" xr:uid="{00000000-0005-0000-0000-00003A000000}"/>
    <cellStyle name="アクセント 2 3" xfId="112" xr:uid="{00000000-0005-0000-0000-00003B000000}"/>
    <cellStyle name="アクセント 3" xfId="41" builtinId="37" customBuiltin="1"/>
    <cellStyle name="アクセント 3 2" xfId="42" xr:uid="{00000000-0005-0000-0000-00003D000000}"/>
    <cellStyle name="アクセント 3 3" xfId="116" xr:uid="{00000000-0005-0000-0000-00003E000000}"/>
    <cellStyle name="アクセント 4" xfId="43" builtinId="41" customBuiltin="1"/>
    <cellStyle name="アクセント 4 2" xfId="44" xr:uid="{00000000-0005-0000-0000-000040000000}"/>
    <cellStyle name="アクセント 4 3" xfId="120" xr:uid="{00000000-0005-0000-0000-000041000000}"/>
    <cellStyle name="アクセント 5" xfId="45" builtinId="45" customBuiltin="1"/>
    <cellStyle name="アクセント 5 2" xfId="46" xr:uid="{00000000-0005-0000-0000-000043000000}"/>
    <cellStyle name="アクセント 5 3" xfId="124" xr:uid="{00000000-0005-0000-0000-000044000000}"/>
    <cellStyle name="アクセント 6" xfId="47" builtinId="49" customBuiltin="1"/>
    <cellStyle name="アクセント 6 2" xfId="48" xr:uid="{00000000-0005-0000-0000-000046000000}"/>
    <cellStyle name="アクセント 6 3" xfId="128" xr:uid="{00000000-0005-0000-0000-000047000000}"/>
    <cellStyle name="タイトル" xfId="49" builtinId="15" customBuiltin="1"/>
    <cellStyle name="タイトル 2" xfId="50" xr:uid="{00000000-0005-0000-0000-000049000000}"/>
    <cellStyle name="タイトル 3" xfId="91" xr:uid="{00000000-0005-0000-0000-00004A000000}"/>
    <cellStyle name="チェック セル" xfId="51" builtinId="23" customBuiltin="1"/>
    <cellStyle name="チェック セル 2" xfId="52" xr:uid="{00000000-0005-0000-0000-00004C000000}"/>
    <cellStyle name="チェック セル 3" xfId="103" xr:uid="{00000000-0005-0000-0000-00004D000000}"/>
    <cellStyle name="どちらでもない" xfId="53" builtinId="28" customBuiltin="1"/>
    <cellStyle name="どちらでもない 2" xfId="54" xr:uid="{00000000-0005-0000-0000-00004F000000}"/>
    <cellStyle name="どちらでもない 3" xfId="98" xr:uid="{00000000-0005-0000-0000-000050000000}"/>
    <cellStyle name="ハイパーリンク 2" xfId="133" xr:uid="{00000000-0005-0000-0000-000051000000}"/>
    <cellStyle name="メモ" xfId="55" builtinId="10" customBuiltin="1"/>
    <cellStyle name="メモ 2" xfId="56" xr:uid="{00000000-0005-0000-0000-000053000000}"/>
    <cellStyle name="メモ 3" xfId="105" xr:uid="{00000000-0005-0000-0000-000054000000}"/>
    <cellStyle name="リンク セル" xfId="57" builtinId="24" customBuiltin="1"/>
    <cellStyle name="リンク セル 2" xfId="58" xr:uid="{00000000-0005-0000-0000-000056000000}"/>
    <cellStyle name="リンク セル 3" xfId="102" xr:uid="{00000000-0005-0000-0000-000057000000}"/>
    <cellStyle name="悪い" xfId="59" builtinId="27" customBuiltin="1"/>
    <cellStyle name="悪い 2" xfId="60" xr:uid="{00000000-0005-0000-0000-000059000000}"/>
    <cellStyle name="悪い 3" xfId="97" xr:uid="{00000000-0005-0000-0000-00005A000000}"/>
    <cellStyle name="計算" xfId="61" builtinId="22" customBuiltin="1"/>
    <cellStyle name="計算 2" xfId="62" xr:uid="{00000000-0005-0000-0000-00005C000000}"/>
    <cellStyle name="計算 3" xfId="101" xr:uid="{00000000-0005-0000-0000-00005D000000}"/>
    <cellStyle name="警告文" xfId="63" builtinId="11" customBuiltin="1"/>
    <cellStyle name="警告文 2" xfId="64" xr:uid="{00000000-0005-0000-0000-00005F000000}"/>
    <cellStyle name="警告文 3" xfId="104" xr:uid="{00000000-0005-0000-0000-000060000000}"/>
    <cellStyle name="見出し 1" xfId="65" builtinId="16" customBuiltin="1"/>
    <cellStyle name="見出し 1 2" xfId="66" xr:uid="{00000000-0005-0000-0000-000062000000}"/>
    <cellStyle name="見出し 1 3" xfId="92" xr:uid="{00000000-0005-0000-0000-000063000000}"/>
    <cellStyle name="見出し 2" xfId="67" builtinId="17" customBuiltin="1"/>
    <cellStyle name="見出し 2 2" xfId="68" xr:uid="{00000000-0005-0000-0000-000065000000}"/>
    <cellStyle name="見出し 2 3" xfId="93" xr:uid="{00000000-0005-0000-0000-000066000000}"/>
    <cellStyle name="見出し 3" xfId="69" builtinId="18" customBuiltin="1"/>
    <cellStyle name="見出し 3 2" xfId="70" xr:uid="{00000000-0005-0000-0000-000068000000}"/>
    <cellStyle name="見出し 3 3" xfId="94" xr:uid="{00000000-0005-0000-0000-000069000000}"/>
    <cellStyle name="見出し 4" xfId="71" builtinId="19" customBuiltin="1"/>
    <cellStyle name="見出し 4 2" xfId="72" xr:uid="{00000000-0005-0000-0000-00006B000000}"/>
    <cellStyle name="見出し 4 3" xfId="95" xr:uid="{00000000-0005-0000-0000-00006C000000}"/>
    <cellStyle name="集計" xfId="73" builtinId="25" customBuiltin="1"/>
    <cellStyle name="集計 2" xfId="74" xr:uid="{00000000-0005-0000-0000-00006E000000}"/>
    <cellStyle name="集計 3" xfId="107" xr:uid="{00000000-0005-0000-0000-00006F000000}"/>
    <cellStyle name="出力" xfId="75" builtinId="21" customBuiltin="1"/>
    <cellStyle name="出力 2" xfId="76" xr:uid="{00000000-0005-0000-0000-000071000000}"/>
    <cellStyle name="出力 3" xfId="100" xr:uid="{00000000-0005-0000-0000-000072000000}"/>
    <cellStyle name="説明文" xfId="77" builtinId="53" customBuiltin="1"/>
    <cellStyle name="説明文 2" xfId="78" xr:uid="{00000000-0005-0000-0000-000074000000}"/>
    <cellStyle name="説明文 3" xfId="106" xr:uid="{00000000-0005-0000-0000-000075000000}"/>
    <cellStyle name="入力" xfId="79" builtinId="20" customBuiltin="1"/>
    <cellStyle name="入力 2" xfId="80" xr:uid="{00000000-0005-0000-0000-000077000000}"/>
    <cellStyle name="入力 3" xfId="99" xr:uid="{00000000-0005-0000-0000-000078000000}"/>
    <cellStyle name="標準" xfId="0" builtinId="0"/>
    <cellStyle name="標準 2" xfId="81" xr:uid="{00000000-0005-0000-0000-00007A000000}"/>
    <cellStyle name="標準 3" xfId="89" xr:uid="{00000000-0005-0000-0000-00007B000000}"/>
    <cellStyle name="標準 4" xfId="90" xr:uid="{00000000-0005-0000-0000-00007C000000}"/>
    <cellStyle name="標準 5" xfId="132" xr:uid="{00000000-0005-0000-0000-00007D000000}"/>
    <cellStyle name="標準_133-11-46" xfId="82" xr:uid="{00000000-0005-0000-0000-00007E000000}"/>
    <cellStyle name="標準_133-11-47" xfId="83" xr:uid="{00000000-0005-0000-0000-00007F000000}"/>
    <cellStyle name="標準_133-11-47_1" xfId="84" xr:uid="{00000000-0005-0000-0000-000080000000}"/>
    <cellStyle name="標準_133-11-48" xfId="85" xr:uid="{00000000-0005-0000-0000-000081000000}"/>
    <cellStyle name="標準_133-11-49" xfId="86" xr:uid="{00000000-0005-0000-0000-000082000000}"/>
    <cellStyle name="良い" xfId="87" builtinId="26" customBuiltin="1"/>
    <cellStyle name="良い 2" xfId="88" xr:uid="{00000000-0005-0000-0000-000084000000}"/>
    <cellStyle name="良い 3" xfId="96" xr:uid="{00000000-0005-0000-0000-000085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3"/>
  <dimension ref="A1:J48"/>
  <sheetViews>
    <sheetView tabSelected="1" zoomScaleNormal="100" workbookViewId="0">
      <selection activeCell="I3" sqref="I3"/>
    </sheetView>
  </sheetViews>
  <sheetFormatPr defaultRowHeight="16.5" x14ac:dyDescent="0.15"/>
  <cols>
    <col min="1" max="1" width="24.25" style="10" customWidth="1"/>
    <col min="2" max="5" width="13.625" style="10" customWidth="1"/>
    <col min="6" max="6" width="13.625" style="13" customWidth="1"/>
    <col min="7" max="7" width="13.625" style="59" customWidth="1"/>
    <col min="8" max="8" width="13.625" style="31" customWidth="1"/>
    <col min="9" max="9" width="46.625" style="10" customWidth="1"/>
    <col min="10" max="16384" width="9" style="10"/>
  </cols>
  <sheetData>
    <row r="1" spans="1:10" ht="6.75" customHeight="1" x14ac:dyDescent="0.15"/>
    <row r="2" spans="1:10" x14ac:dyDescent="0.15">
      <c r="A2" s="10" t="s">
        <v>60</v>
      </c>
    </row>
    <row r="3" spans="1:10" ht="15.75" customHeight="1" x14ac:dyDescent="0.15">
      <c r="A3" s="11" t="s">
        <v>63</v>
      </c>
      <c r="B3" s="11" t="s">
        <v>84</v>
      </c>
      <c r="C3" s="11" t="s">
        <v>85</v>
      </c>
      <c r="D3" s="10" t="s">
        <v>163</v>
      </c>
      <c r="E3" s="11" t="s">
        <v>0</v>
      </c>
      <c r="F3" s="14" t="s">
        <v>165</v>
      </c>
      <c r="G3" s="60" t="s">
        <v>180</v>
      </c>
      <c r="H3" s="32" t="s">
        <v>165</v>
      </c>
      <c r="I3" s="12" t="s">
        <v>64</v>
      </c>
      <c r="J3" s="10" t="s">
        <v>194</v>
      </c>
    </row>
    <row r="4" spans="1:10" ht="17.25" customHeight="1" x14ac:dyDescent="0.15">
      <c r="A4" s="15" t="s">
        <v>10</v>
      </c>
      <c r="B4" s="15" t="s">
        <v>90</v>
      </c>
      <c r="C4" s="15" t="s">
        <v>154</v>
      </c>
      <c r="D4" s="45" t="s">
        <v>169</v>
      </c>
      <c r="E4" s="15" t="s">
        <v>11</v>
      </c>
      <c r="F4" s="15" t="s">
        <v>111</v>
      </c>
      <c r="G4" s="61" t="s">
        <v>233</v>
      </c>
      <c r="H4" s="33" t="s">
        <v>138</v>
      </c>
      <c r="I4" s="16" t="s">
        <v>234</v>
      </c>
    </row>
    <row r="5" spans="1:10" ht="17.25" customHeight="1" x14ac:dyDescent="0.15">
      <c r="A5" s="15" t="s">
        <v>13</v>
      </c>
      <c r="B5" s="15" t="s">
        <v>90</v>
      </c>
      <c r="C5" s="15" t="s">
        <v>155</v>
      </c>
      <c r="D5" s="46"/>
      <c r="E5" s="15" t="s">
        <v>236</v>
      </c>
      <c r="F5" s="15" t="s">
        <v>112</v>
      </c>
      <c r="G5" s="62" t="s">
        <v>168</v>
      </c>
      <c r="H5" s="33" t="s">
        <v>139</v>
      </c>
      <c r="I5" s="16" t="s">
        <v>73</v>
      </c>
    </row>
    <row r="6" spans="1:10" ht="17.25" customHeight="1" x14ac:dyDescent="0.15">
      <c r="A6" s="15" t="s">
        <v>12</v>
      </c>
      <c r="B6" s="15" t="s">
        <v>90</v>
      </c>
      <c r="C6" s="15" t="s">
        <v>94</v>
      </c>
      <c r="D6" s="46"/>
      <c r="E6" s="15" t="s">
        <v>216</v>
      </c>
      <c r="F6" s="15" t="s">
        <v>113</v>
      </c>
      <c r="G6" s="62" t="s">
        <v>216</v>
      </c>
      <c r="H6" s="33" t="s">
        <v>140</v>
      </c>
      <c r="I6" s="16" t="s">
        <v>83</v>
      </c>
    </row>
    <row r="7" spans="1:10" ht="17.25" customHeight="1" x14ac:dyDescent="0.15">
      <c r="A7" s="15" t="s">
        <v>14</v>
      </c>
      <c r="B7" s="15" t="s">
        <v>90</v>
      </c>
      <c r="C7" s="15" t="s">
        <v>88</v>
      </c>
      <c r="D7" s="47"/>
      <c r="E7" s="15" t="s">
        <v>15</v>
      </c>
      <c r="F7" s="15" t="s">
        <v>114</v>
      </c>
      <c r="G7" s="62" t="s">
        <v>75</v>
      </c>
      <c r="H7" s="33" t="s">
        <v>141</v>
      </c>
      <c r="I7" s="16" t="s">
        <v>176</v>
      </c>
    </row>
    <row r="8" spans="1:10" ht="17.25" customHeight="1" x14ac:dyDescent="0.15">
      <c r="A8" s="17" t="s">
        <v>17</v>
      </c>
      <c r="B8" s="17" t="s">
        <v>90</v>
      </c>
      <c r="C8" s="17" t="s">
        <v>156</v>
      </c>
      <c r="D8" s="48" t="s">
        <v>167</v>
      </c>
      <c r="E8" s="17" t="s">
        <v>18</v>
      </c>
      <c r="F8" s="17" t="s">
        <v>115</v>
      </c>
      <c r="G8" s="62" t="s">
        <v>178</v>
      </c>
      <c r="H8" s="34" t="s">
        <v>142</v>
      </c>
      <c r="I8" s="18" t="s">
        <v>179</v>
      </c>
    </row>
    <row r="9" spans="1:10" ht="17.25" customHeight="1" x14ac:dyDescent="0.15">
      <c r="A9" s="17" t="s">
        <v>16</v>
      </c>
      <c r="B9" s="17" t="s">
        <v>90</v>
      </c>
      <c r="C9" s="17" t="s">
        <v>157</v>
      </c>
      <c r="D9" s="49"/>
      <c r="E9" s="17" t="s">
        <v>170</v>
      </c>
      <c r="F9" s="40" t="s">
        <v>211</v>
      </c>
      <c r="G9" s="62" t="s">
        <v>223</v>
      </c>
      <c r="H9" s="34" t="s">
        <v>182</v>
      </c>
      <c r="I9" s="18" t="s">
        <v>235</v>
      </c>
    </row>
    <row r="10" spans="1:10" ht="17.25" customHeight="1" x14ac:dyDescent="0.15">
      <c r="A10" s="17" t="s">
        <v>66</v>
      </c>
      <c r="B10" s="17" t="s">
        <v>91</v>
      </c>
      <c r="C10" s="17" t="s">
        <v>93</v>
      </c>
      <c r="D10" s="49"/>
      <c r="E10" s="17" t="s">
        <v>67</v>
      </c>
      <c r="F10" s="17" t="s">
        <v>117</v>
      </c>
      <c r="G10" s="62" t="s">
        <v>68</v>
      </c>
      <c r="H10" s="34" t="s">
        <v>143</v>
      </c>
      <c r="I10" s="18" t="s">
        <v>69</v>
      </c>
    </row>
    <row r="11" spans="1:10" ht="17.25" customHeight="1" x14ac:dyDescent="0.15">
      <c r="A11" s="17" t="s">
        <v>19</v>
      </c>
      <c r="B11" s="17" t="s">
        <v>90</v>
      </c>
      <c r="C11" s="17" t="s">
        <v>98</v>
      </c>
      <c r="D11" s="49"/>
      <c r="E11" s="17" t="s">
        <v>20</v>
      </c>
      <c r="F11" s="17" t="s">
        <v>118</v>
      </c>
      <c r="G11" s="62" t="s">
        <v>21</v>
      </c>
      <c r="H11" s="34" t="s">
        <v>144</v>
      </c>
      <c r="I11" s="18" t="s">
        <v>242</v>
      </c>
    </row>
    <row r="12" spans="1:10" ht="17.25" customHeight="1" x14ac:dyDescent="0.15">
      <c r="A12" s="17" t="s">
        <v>177</v>
      </c>
      <c r="B12" s="17" t="s">
        <v>90</v>
      </c>
      <c r="C12" s="17" t="s">
        <v>98</v>
      </c>
      <c r="D12" s="50"/>
      <c r="E12" s="17" t="s">
        <v>22</v>
      </c>
      <c r="F12" s="17" t="s">
        <v>119</v>
      </c>
      <c r="G12" s="62" t="s">
        <v>22</v>
      </c>
      <c r="H12" s="34" t="s">
        <v>119</v>
      </c>
      <c r="I12" s="18" t="s">
        <v>23</v>
      </c>
    </row>
    <row r="13" spans="1:10" ht="16.5" customHeight="1" x14ac:dyDescent="0.15">
      <c r="A13" s="19" t="s">
        <v>24</v>
      </c>
      <c r="B13" s="19" t="s">
        <v>90</v>
      </c>
      <c r="C13" s="19" t="s">
        <v>158</v>
      </c>
      <c r="D13" s="57" t="s">
        <v>221</v>
      </c>
      <c r="E13" s="19" t="s">
        <v>25</v>
      </c>
      <c r="F13" s="19" t="s">
        <v>120</v>
      </c>
      <c r="G13" s="62" t="s">
        <v>25</v>
      </c>
      <c r="H13" s="30" t="s">
        <v>120</v>
      </c>
      <c r="I13" s="20" t="s">
        <v>70</v>
      </c>
    </row>
    <row r="14" spans="1:10" x14ac:dyDescent="0.15">
      <c r="A14" s="19" t="s">
        <v>26</v>
      </c>
      <c r="B14" s="19" t="s">
        <v>90</v>
      </c>
      <c r="C14" s="19" t="s">
        <v>158</v>
      </c>
      <c r="D14" s="58"/>
      <c r="E14" s="19" t="s">
        <v>27</v>
      </c>
      <c r="F14" s="19" t="s">
        <v>121</v>
      </c>
      <c r="G14" s="62" t="s">
        <v>166</v>
      </c>
      <c r="H14" s="30" t="s">
        <v>183</v>
      </c>
      <c r="I14" s="20" t="s">
        <v>80</v>
      </c>
    </row>
    <row r="15" spans="1:10" x14ac:dyDescent="0.15">
      <c r="A15" s="19" t="s">
        <v>28</v>
      </c>
      <c r="B15" s="19" t="s">
        <v>90</v>
      </c>
      <c r="C15" s="19" t="s">
        <v>159</v>
      </c>
      <c r="D15" s="58"/>
      <c r="E15" s="19" t="s">
        <v>47</v>
      </c>
      <c r="F15" s="19" t="s">
        <v>122</v>
      </c>
      <c r="G15" s="62" t="s">
        <v>243</v>
      </c>
      <c r="H15" s="30" t="s">
        <v>244</v>
      </c>
      <c r="I15" s="20" t="s">
        <v>245</v>
      </c>
    </row>
    <row r="16" spans="1:10" x14ac:dyDescent="0.15">
      <c r="A16" s="19" t="s">
        <v>188</v>
      </c>
      <c r="B16" s="19" t="s">
        <v>90</v>
      </c>
      <c r="C16" s="19" t="s">
        <v>159</v>
      </c>
      <c r="D16" s="58"/>
      <c r="E16" s="19" t="s">
        <v>189</v>
      </c>
      <c r="F16" s="30" t="s">
        <v>190</v>
      </c>
      <c r="G16" s="62" t="s">
        <v>189</v>
      </c>
      <c r="H16" s="30" t="s">
        <v>190</v>
      </c>
      <c r="I16" s="20" t="s">
        <v>196</v>
      </c>
    </row>
    <row r="17" spans="1:10" x14ac:dyDescent="0.15">
      <c r="A17" s="19" t="s">
        <v>30</v>
      </c>
      <c r="B17" s="19" t="s">
        <v>90</v>
      </c>
      <c r="C17" s="19" t="s">
        <v>160</v>
      </c>
      <c r="D17" s="58"/>
      <c r="E17" s="19" t="s">
        <v>31</v>
      </c>
      <c r="F17" s="19" t="s">
        <v>123</v>
      </c>
      <c r="G17" s="62" t="s">
        <v>237</v>
      </c>
      <c r="H17" s="30" t="s">
        <v>186</v>
      </c>
      <c r="I17" s="20" t="s">
        <v>187</v>
      </c>
    </row>
    <row r="18" spans="1:10" x14ac:dyDescent="0.15">
      <c r="A18" s="19" t="s">
        <v>29</v>
      </c>
      <c r="B18" s="19" t="s">
        <v>90</v>
      </c>
      <c r="C18" s="19" t="s">
        <v>160</v>
      </c>
      <c r="D18" s="58"/>
      <c r="E18" s="19" t="s">
        <v>46</v>
      </c>
      <c r="F18" s="19" t="s">
        <v>124</v>
      </c>
      <c r="G18" s="62" t="s">
        <v>238</v>
      </c>
      <c r="H18" s="30" t="s">
        <v>145</v>
      </c>
      <c r="I18" s="20" t="s">
        <v>71</v>
      </c>
    </row>
    <row r="19" spans="1:10" x14ac:dyDescent="0.15">
      <c r="A19" s="19" t="s">
        <v>32</v>
      </c>
      <c r="B19" s="19" t="s">
        <v>90</v>
      </c>
      <c r="C19" s="19" t="s">
        <v>161</v>
      </c>
      <c r="D19" s="58"/>
      <c r="E19" s="19" t="s">
        <v>33</v>
      </c>
      <c r="F19" s="19" t="s">
        <v>125</v>
      </c>
      <c r="G19" s="62" t="s">
        <v>217</v>
      </c>
      <c r="H19" s="30" t="s">
        <v>146</v>
      </c>
      <c r="I19" s="20" t="s">
        <v>81</v>
      </c>
    </row>
    <row r="20" spans="1:10" ht="17.25" customHeight="1" x14ac:dyDescent="0.15">
      <c r="A20" s="21" t="s">
        <v>53</v>
      </c>
      <c r="B20" s="21" t="s">
        <v>87</v>
      </c>
      <c r="C20" s="21" t="s">
        <v>105</v>
      </c>
      <c r="D20" s="54" t="s">
        <v>219</v>
      </c>
      <c r="E20" s="21" t="s">
        <v>11</v>
      </c>
      <c r="F20" s="21" t="s">
        <v>111</v>
      </c>
      <c r="G20" s="62" t="s">
        <v>210</v>
      </c>
      <c r="H20" s="35" t="s">
        <v>147</v>
      </c>
      <c r="I20" s="22" t="s">
        <v>77</v>
      </c>
    </row>
    <row r="21" spans="1:10" ht="17.25" customHeight="1" x14ac:dyDescent="0.15">
      <c r="A21" s="21" t="s">
        <v>3</v>
      </c>
      <c r="B21" s="21" t="s">
        <v>87</v>
      </c>
      <c r="C21" s="21" t="s">
        <v>155</v>
      </c>
      <c r="D21" s="55"/>
      <c r="E21" s="21" t="s">
        <v>4</v>
      </c>
      <c r="F21" s="21" t="s">
        <v>127</v>
      </c>
      <c r="G21" s="62" t="s">
        <v>249</v>
      </c>
      <c r="H21" s="35" t="s">
        <v>148</v>
      </c>
      <c r="I21" s="22" t="s">
        <v>248</v>
      </c>
    </row>
    <row r="22" spans="1:10" ht="17.25" customHeight="1" x14ac:dyDescent="0.15">
      <c r="A22" s="21" t="s">
        <v>54</v>
      </c>
      <c r="B22" s="23" t="s">
        <v>87</v>
      </c>
      <c r="C22" s="21" t="s">
        <v>95</v>
      </c>
      <c r="D22" s="55"/>
      <c r="E22" s="21" t="s">
        <v>44</v>
      </c>
      <c r="F22" s="21" t="s">
        <v>128</v>
      </c>
      <c r="G22" s="62" t="s">
        <v>44</v>
      </c>
      <c r="H22" s="35" t="s">
        <v>128</v>
      </c>
      <c r="I22" s="22" t="s">
        <v>74</v>
      </c>
    </row>
    <row r="23" spans="1:10" ht="17.25" customHeight="1" x14ac:dyDescent="0.15">
      <c r="A23" s="21" t="s">
        <v>56</v>
      </c>
      <c r="B23" s="21" t="s">
        <v>87</v>
      </c>
      <c r="C23" s="21" t="s">
        <v>89</v>
      </c>
      <c r="D23" s="55"/>
      <c r="E23" s="21" t="s">
        <v>45</v>
      </c>
      <c r="F23" s="21" t="s">
        <v>129</v>
      </c>
      <c r="G23" s="62" t="s">
        <v>222</v>
      </c>
      <c r="H23" s="35" t="s">
        <v>120</v>
      </c>
      <c r="I23" s="22" t="s">
        <v>65</v>
      </c>
    </row>
    <row r="24" spans="1:10" ht="17.25" customHeight="1" x14ac:dyDescent="0.15">
      <c r="A24" s="21" t="s">
        <v>220</v>
      </c>
      <c r="B24" s="21" t="s">
        <v>86</v>
      </c>
      <c r="C24" s="21" t="s">
        <v>157</v>
      </c>
      <c r="D24" s="55"/>
      <c r="E24" s="21" t="s">
        <v>1</v>
      </c>
      <c r="F24" s="21" t="s">
        <v>130</v>
      </c>
      <c r="G24" s="62" t="s">
        <v>50</v>
      </c>
      <c r="H24" s="35" t="s">
        <v>110</v>
      </c>
      <c r="I24" s="22" t="s">
        <v>82</v>
      </c>
    </row>
    <row r="25" spans="1:10" ht="17.25" customHeight="1" x14ac:dyDescent="0.15">
      <c r="A25" s="21" t="s">
        <v>55</v>
      </c>
      <c r="B25" s="21" t="s">
        <v>86</v>
      </c>
      <c r="C25" s="21" t="s">
        <v>92</v>
      </c>
      <c r="D25" s="55"/>
      <c r="E25" s="21" t="s">
        <v>57</v>
      </c>
      <c r="F25" s="21" t="s">
        <v>131</v>
      </c>
      <c r="G25" s="62" t="s">
        <v>78</v>
      </c>
      <c r="H25" s="35" t="s">
        <v>149</v>
      </c>
      <c r="I25" s="24" t="s">
        <v>79</v>
      </c>
    </row>
    <row r="26" spans="1:10" ht="17.25" customHeight="1" x14ac:dyDescent="0.15">
      <c r="A26" s="21" t="s">
        <v>192</v>
      </c>
      <c r="B26" s="21" t="s">
        <v>101</v>
      </c>
      <c r="C26" s="21" t="s">
        <v>191</v>
      </c>
      <c r="D26" s="56"/>
      <c r="E26" s="21" t="s">
        <v>44</v>
      </c>
      <c r="F26" s="21" t="s">
        <v>128</v>
      </c>
      <c r="G26" s="62" t="s">
        <v>193</v>
      </c>
      <c r="H26" s="35" t="s">
        <v>198</v>
      </c>
      <c r="I26" s="38" t="s">
        <v>197</v>
      </c>
      <c r="J26" s="10" t="s">
        <v>195</v>
      </c>
    </row>
    <row r="27" spans="1:10" ht="17.25" customHeight="1" x14ac:dyDescent="0.15">
      <c r="A27" s="25" t="s">
        <v>7</v>
      </c>
      <c r="B27" s="25" t="s">
        <v>101</v>
      </c>
      <c r="C27" s="25" t="s">
        <v>104</v>
      </c>
      <c r="D27" s="51" t="s">
        <v>164</v>
      </c>
      <c r="E27" s="25" t="s">
        <v>209</v>
      </c>
      <c r="F27" s="25" t="s">
        <v>116</v>
      </c>
      <c r="G27" s="62" t="s">
        <v>51</v>
      </c>
      <c r="H27" s="36" t="s">
        <v>150</v>
      </c>
      <c r="I27" s="26" t="s">
        <v>8</v>
      </c>
    </row>
    <row r="28" spans="1:10" ht="17.25" customHeight="1" x14ac:dyDescent="0.15">
      <c r="A28" s="25" t="s">
        <v>9</v>
      </c>
      <c r="B28" s="25" t="s">
        <v>101</v>
      </c>
      <c r="C28" s="25" t="s">
        <v>94</v>
      </c>
      <c r="D28" s="52"/>
      <c r="E28" s="25" t="s">
        <v>224</v>
      </c>
      <c r="F28" s="25" t="s">
        <v>132</v>
      </c>
      <c r="G28" s="62" t="s">
        <v>52</v>
      </c>
      <c r="H28" s="36" t="s">
        <v>151</v>
      </c>
      <c r="I28" s="26" t="s">
        <v>61</v>
      </c>
    </row>
    <row r="29" spans="1:10" ht="17.25" customHeight="1" x14ac:dyDescent="0.15">
      <c r="A29" s="25" t="s">
        <v>208</v>
      </c>
      <c r="B29" s="25" t="s">
        <v>101</v>
      </c>
      <c r="C29" s="25" t="s">
        <v>88</v>
      </c>
      <c r="D29" s="52"/>
      <c r="E29" s="25" t="s">
        <v>218</v>
      </c>
      <c r="F29" s="25" t="s">
        <v>133</v>
      </c>
      <c r="G29" s="62" t="s">
        <v>218</v>
      </c>
      <c r="H29" s="36" t="s">
        <v>133</v>
      </c>
      <c r="I29" s="26" t="s">
        <v>72</v>
      </c>
    </row>
    <row r="30" spans="1:10" ht="17.25" customHeight="1" x14ac:dyDescent="0.15">
      <c r="A30" s="25" t="s">
        <v>53</v>
      </c>
      <c r="B30" s="25" t="s">
        <v>102</v>
      </c>
      <c r="C30" s="25" t="s">
        <v>103</v>
      </c>
      <c r="D30" s="52"/>
      <c r="E30" s="25" t="s">
        <v>11</v>
      </c>
      <c r="F30" s="25" t="s">
        <v>111</v>
      </c>
      <c r="G30" s="62" t="s">
        <v>210</v>
      </c>
      <c r="H30" s="36" t="s">
        <v>147</v>
      </c>
      <c r="I30" s="26" t="s">
        <v>77</v>
      </c>
    </row>
    <row r="31" spans="1:10" ht="17.25" customHeight="1" x14ac:dyDescent="0.15">
      <c r="A31" s="39" t="s">
        <v>231</v>
      </c>
      <c r="B31" s="25" t="s">
        <v>97</v>
      </c>
      <c r="C31" s="25" t="s">
        <v>89</v>
      </c>
      <c r="D31" s="52"/>
      <c r="E31" s="25" t="s">
        <v>27</v>
      </c>
      <c r="F31" s="25" t="s">
        <v>121</v>
      </c>
      <c r="G31" s="62" t="s">
        <v>215</v>
      </c>
      <c r="H31" s="36" t="s">
        <v>184</v>
      </c>
      <c r="I31" s="26" t="s">
        <v>181</v>
      </c>
    </row>
    <row r="32" spans="1:10" ht="17.25" customHeight="1" x14ac:dyDescent="0.15">
      <c r="A32" s="39" t="s">
        <v>199</v>
      </c>
      <c r="B32" s="25" t="s">
        <v>97</v>
      </c>
      <c r="C32" s="25" t="s">
        <v>89</v>
      </c>
      <c r="D32" s="52"/>
      <c r="E32" s="25" t="s">
        <v>215</v>
      </c>
      <c r="F32" s="36" t="s">
        <v>184</v>
      </c>
      <c r="G32" s="62" t="s">
        <v>215</v>
      </c>
      <c r="H32" s="36" t="s">
        <v>184</v>
      </c>
      <c r="I32" s="26" t="s">
        <v>181</v>
      </c>
    </row>
    <row r="33" spans="1:9" ht="17.25" customHeight="1" x14ac:dyDescent="0.15">
      <c r="A33" s="39" t="s">
        <v>230</v>
      </c>
      <c r="B33" s="25" t="s">
        <v>200</v>
      </c>
      <c r="C33" s="25" t="s">
        <v>201</v>
      </c>
      <c r="D33" s="52"/>
      <c r="E33" s="25" t="s">
        <v>202</v>
      </c>
      <c r="F33" s="36" t="s">
        <v>204</v>
      </c>
      <c r="G33" s="62" t="s">
        <v>247</v>
      </c>
      <c r="H33" s="36" t="s">
        <v>204</v>
      </c>
      <c r="I33" s="26" t="s">
        <v>246</v>
      </c>
    </row>
    <row r="34" spans="1:9" ht="17.25" customHeight="1" x14ac:dyDescent="0.15">
      <c r="A34" s="39" t="s">
        <v>228</v>
      </c>
      <c r="B34" s="25" t="s">
        <v>200</v>
      </c>
      <c r="C34" s="25" t="s">
        <v>201</v>
      </c>
      <c r="D34" s="52"/>
      <c r="E34" s="25" t="s">
        <v>226</v>
      </c>
      <c r="F34" s="36" t="s">
        <v>227</v>
      </c>
      <c r="G34" s="62" t="s">
        <v>203</v>
      </c>
      <c r="H34" s="36" t="s">
        <v>204</v>
      </c>
      <c r="I34" s="26" t="s">
        <v>205</v>
      </c>
    </row>
    <row r="35" spans="1:9" ht="17.25" customHeight="1" x14ac:dyDescent="0.15">
      <c r="A35" s="25" t="s">
        <v>2</v>
      </c>
      <c r="B35" s="25" t="s">
        <v>96</v>
      </c>
      <c r="C35" s="25" t="s">
        <v>157</v>
      </c>
      <c r="D35" s="52"/>
      <c r="E35" s="25" t="s">
        <v>33</v>
      </c>
      <c r="F35" s="25" t="s">
        <v>134</v>
      </c>
      <c r="G35" s="62" t="s">
        <v>239</v>
      </c>
      <c r="H35" s="36" t="s">
        <v>134</v>
      </c>
      <c r="I35" s="26" t="s">
        <v>76</v>
      </c>
    </row>
    <row r="36" spans="1:9" ht="17.25" customHeight="1" x14ac:dyDescent="0.15">
      <c r="A36" s="25" t="s">
        <v>58</v>
      </c>
      <c r="B36" s="25" t="s">
        <v>97</v>
      </c>
      <c r="C36" s="25" t="s">
        <v>93</v>
      </c>
      <c r="D36" s="52"/>
      <c r="E36" s="25" t="s">
        <v>225</v>
      </c>
      <c r="F36" s="25" t="s">
        <v>135</v>
      </c>
      <c r="G36" s="62" t="s">
        <v>214</v>
      </c>
      <c r="H36" s="36" t="s">
        <v>135</v>
      </c>
      <c r="I36" s="26" t="s">
        <v>213</v>
      </c>
    </row>
    <row r="37" spans="1:9" ht="17.25" customHeight="1" x14ac:dyDescent="0.15">
      <c r="A37" s="25" t="s">
        <v>229</v>
      </c>
      <c r="B37" s="25" t="s">
        <v>97</v>
      </c>
      <c r="C37" s="25" t="s">
        <v>93</v>
      </c>
      <c r="D37" s="53"/>
      <c r="E37" s="25" t="s">
        <v>48</v>
      </c>
      <c r="F37" s="25" t="s">
        <v>136</v>
      </c>
      <c r="G37" s="62" t="s">
        <v>49</v>
      </c>
      <c r="H37" s="36" t="s">
        <v>152</v>
      </c>
      <c r="I37" s="26" t="s">
        <v>62</v>
      </c>
    </row>
    <row r="38" spans="1:9" ht="17.25" customHeight="1" x14ac:dyDescent="0.15">
      <c r="A38" s="27" t="s">
        <v>5</v>
      </c>
      <c r="B38" s="27" t="s">
        <v>87</v>
      </c>
      <c r="C38" s="27" t="s">
        <v>162</v>
      </c>
      <c r="D38" s="42" t="s">
        <v>206</v>
      </c>
      <c r="E38" s="27" t="s">
        <v>171</v>
      </c>
      <c r="F38" s="27" t="s">
        <v>126</v>
      </c>
      <c r="G38" s="62" t="s">
        <v>172</v>
      </c>
      <c r="H38" s="37" t="s">
        <v>126</v>
      </c>
      <c r="I38" s="28" t="s">
        <v>6</v>
      </c>
    </row>
    <row r="39" spans="1:9" ht="17.25" customHeight="1" x14ac:dyDescent="0.15">
      <c r="A39" s="27" t="s">
        <v>59</v>
      </c>
      <c r="B39" s="27" t="s">
        <v>99</v>
      </c>
      <c r="C39" s="27" t="s">
        <v>100</v>
      </c>
      <c r="D39" s="43"/>
      <c r="E39" s="27" t="s">
        <v>240</v>
      </c>
      <c r="F39" s="27" t="s">
        <v>137</v>
      </c>
      <c r="G39" s="62" t="s">
        <v>240</v>
      </c>
      <c r="H39" s="37" t="s">
        <v>137</v>
      </c>
      <c r="I39" s="29"/>
    </row>
    <row r="40" spans="1:9" ht="17.25" customHeight="1" x14ac:dyDescent="0.4">
      <c r="A40" s="27" t="s">
        <v>34</v>
      </c>
      <c r="B40" s="27" t="s">
        <v>99</v>
      </c>
      <c r="C40" s="27" t="s">
        <v>157</v>
      </c>
      <c r="D40" s="43"/>
      <c r="E40" s="27" t="s">
        <v>11</v>
      </c>
      <c r="F40" s="27" t="s">
        <v>113</v>
      </c>
      <c r="G40" s="62" t="s">
        <v>241</v>
      </c>
      <c r="H40" s="37" t="s">
        <v>153</v>
      </c>
      <c r="I40" s="41" t="s">
        <v>212</v>
      </c>
    </row>
    <row r="41" spans="1:9" ht="17.25" customHeight="1" x14ac:dyDescent="0.15">
      <c r="A41" s="27" t="s">
        <v>232</v>
      </c>
      <c r="B41" s="27" t="s">
        <v>207</v>
      </c>
      <c r="C41" s="27"/>
      <c r="D41" s="44"/>
      <c r="E41" s="27" t="s">
        <v>11</v>
      </c>
      <c r="F41" s="27" t="s">
        <v>111</v>
      </c>
      <c r="G41" s="62" t="s">
        <v>173</v>
      </c>
      <c r="H41" s="37" t="s">
        <v>185</v>
      </c>
      <c r="I41" s="27" t="s">
        <v>174</v>
      </c>
    </row>
    <row r="43" spans="1:9" x14ac:dyDescent="0.15">
      <c r="A43" s="10" t="s">
        <v>106</v>
      </c>
    </row>
    <row r="44" spans="1:9" x14ac:dyDescent="0.15">
      <c r="A44" s="10" t="s">
        <v>107</v>
      </c>
    </row>
    <row r="45" spans="1:9" x14ac:dyDescent="0.15">
      <c r="A45" s="10" t="s">
        <v>108</v>
      </c>
    </row>
    <row r="46" spans="1:9" x14ac:dyDescent="0.15">
      <c r="A46" s="10" t="s">
        <v>109</v>
      </c>
    </row>
    <row r="47" spans="1:9" x14ac:dyDescent="0.15">
      <c r="A47" s="10" t="s">
        <v>99</v>
      </c>
    </row>
    <row r="48" spans="1:9" x14ac:dyDescent="0.15">
      <c r="A48" s="10" t="s">
        <v>175</v>
      </c>
    </row>
  </sheetData>
  <sortState xmlns:xlrd2="http://schemas.microsoft.com/office/spreadsheetml/2017/richdata2" ref="A3:H39">
    <sortCondition ref="B5:B40" customList="総合研究棟,本館,西館,南館,資料館,分生研"/>
    <sortCondition ref="C5:C40"/>
  </sortState>
  <mergeCells count="6">
    <mergeCell ref="D38:D41"/>
    <mergeCell ref="D4:D7"/>
    <mergeCell ref="D8:D12"/>
    <mergeCell ref="D27:D37"/>
    <mergeCell ref="D20:D26"/>
    <mergeCell ref="D13:D19"/>
  </mergeCells>
  <phoneticPr fontId="2"/>
  <pageMargins left="0.55000000000000004" right="0.64" top="0.67" bottom="0.6" header="0.51200000000000001" footer="0.51200000000000001"/>
  <pageSetup paperSize="9" scale="50" orientation="landscape" verticalDpi="300" r:id="rId1"/>
  <headerFooter alignWithMargins="0"/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4"/>
  <dimension ref="A1:IV126"/>
  <sheetViews>
    <sheetView workbookViewId="0">
      <selection activeCell="Q125" sqref="Q125"/>
    </sheetView>
  </sheetViews>
  <sheetFormatPr defaultRowHeight="13.5" x14ac:dyDescent="0.15"/>
  <sheetData>
    <row r="1" spans="1:256" x14ac:dyDescent="0.15">
      <c r="A1" t="e">
        <f>IF(#REF!,"AAAAAF/dRwA=",0)</f>
        <v>#REF!</v>
      </c>
      <c r="B1" t="e">
        <f>AND(#REF!,"AAAAAF/dRwE=")</f>
        <v>#REF!</v>
      </c>
      <c r="C1" t="e">
        <f>AND(#REF!,"AAAAAF/dRwI=")</f>
        <v>#REF!</v>
      </c>
      <c r="D1" t="e">
        <f>AND(#REF!,"AAAAAF/dRwM=")</f>
        <v>#REF!</v>
      </c>
      <c r="E1" t="e">
        <f>AND(#REF!,"AAAAAF/dRwQ=")</f>
        <v>#REF!</v>
      </c>
      <c r="F1" t="e">
        <f>AND(#REF!,"AAAAAF/dRwU=")</f>
        <v>#REF!</v>
      </c>
      <c r="G1" t="e">
        <f>AND(#REF!,"AAAAAF/dRwY=")</f>
        <v>#REF!</v>
      </c>
      <c r="H1" t="e">
        <f>AND(#REF!,"AAAAAF/dRwc=")</f>
        <v>#REF!</v>
      </c>
      <c r="I1" t="e">
        <f>AND(#REF!,"AAAAAF/dRwg=")</f>
        <v>#REF!</v>
      </c>
      <c r="J1" t="e">
        <f>AND(#REF!,"AAAAAF/dRwk=")</f>
        <v>#REF!</v>
      </c>
      <c r="K1" t="e">
        <f>AND(#REF!,"AAAAAF/dRwo=")</f>
        <v>#REF!</v>
      </c>
      <c r="L1" t="e">
        <f>AND(#REF!,"AAAAAF/dRws=")</f>
        <v>#REF!</v>
      </c>
      <c r="M1" t="e">
        <f>AND(#REF!,"AAAAAF/dRww=")</f>
        <v>#REF!</v>
      </c>
      <c r="N1" t="e">
        <f>AND(#REF!,"AAAAAF/dRw0=")</f>
        <v>#REF!</v>
      </c>
      <c r="O1" t="e">
        <f>AND(#REF!,"AAAAAF/dRw4=")</f>
        <v>#REF!</v>
      </c>
      <c r="P1" t="e">
        <f>AND(#REF!,"AAAAAF/dRw8=")</f>
        <v>#REF!</v>
      </c>
      <c r="Q1" t="e">
        <f>AND(#REF!,"AAAAAF/dRxA=")</f>
        <v>#REF!</v>
      </c>
      <c r="R1" t="e">
        <f>AND(#REF!,"AAAAAF/dRxE=")</f>
        <v>#REF!</v>
      </c>
      <c r="S1" t="e">
        <f>AND(#REF!,"AAAAAF/dRxI=")</f>
        <v>#REF!</v>
      </c>
      <c r="T1" t="e">
        <f>AND(#REF!,"AAAAAF/dRxM=")</f>
        <v>#REF!</v>
      </c>
      <c r="U1" t="e">
        <f>IF(#REF!,"AAAAAF/dRxQ=",0)</f>
        <v>#REF!</v>
      </c>
      <c r="V1" t="e">
        <f>AND(#REF!,"AAAAAF/dRxU=")</f>
        <v>#REF!</v>
      </c>
      <c r="W1" t="e">
        <f>AND(#REF!,"AAAAAF/dRxY=")</f>
        <v>#REF!</v>
      </c>
      <c r="X1" t="e">
        <f>AND(#REF!,"AAAAAF/dRxc=")</f>
        <v>#REF!</v>
      </c>
      <c r="Y1" t="e">
        <f>AND(#REF!,"AAAAAF/dRxg=")</f>
        <v>#REF!</v>
      </c>
      <c r="Z1" t="e">
        <f>AND(#REF!,"AAAAAF/dRxk=")</f>
        <v>#REF!</v>
      </c>
      <c r="AA1" t="e">
        <f>AND(#REF!,"AAAAAF/dRxo=")</f>
        <v>#REF!</v>
      </c>
      <c r="AB1" t="e">
        <f>AND(#REF!,"AAAAAF/dRxs=")</f>
        <v>#REF!</v>
      </c>
      <c r="AC1" t="e">
        <f>AND(#REF!,"AAAAAF/dRxw=")</f>
        <v>#REF!</v>
      </c>
      <c r="AD1" t="e">
        <f>AND(#REF!,"AAAAAF/dRx0=")</f>
        <v>#REF!</v>
      </c>
      <c r="AE1" t="e">
        <f>AND(#REF!,"AAAAAF/dRx4=")</f>
        <v>#REF!</v>
      </c>
      <c r="AF1" t="e">
        <f>AND(#REF!,"AAAAAF/dRx8=")</f>
        <v>#REF!</v>
      </c>
      <c r="AG1" t="e">
        <f>AND(#REF!,"AAAAAF/dRyA=")</f>
        <v>#REF!</v>
      </c>
      <c r="AH1" t="e">
        <f>AND(#REF!,"AAAAAF/dRyE=")</f>
        <v>#REF!</v>
      </c>
      <c r="AI1" t="e">
        <f>AND(#REF!,"AAAAAF/dRyI=")</f>
        <v>#REF!</v>
      </c>
      <c r="AJ1" t="e">
        <f>AND(#REF!,"AAAAAF/dRyM=")</f>
        <v>#REF!</v>
      </c>
      <c r="AK1" t="e">
        <f>AND(#REF!,"AAAAAF/dRyQ=")</f>
        <v>#REF!</v>
      </c>
      <c r="AL1" t="e">
        <f>AND(#REF!,"AAAAAF/dRyU=")</f>
        <v>#REF!</v>
      </c>
      <c r="AM1" t="e">
        <f>AND(#REF!,"AAAAAF/dRyY=")</f>
        <v>#REF!</v>
      </c>
      <c r="AN1" t="e">
        <f>AND(#REF!,"AAAAAF/dRyc=")</f>
        <v>#REF!</v>
      </c>
      <c r="AO1" t="e">
        <f>IF(#REF!,"AAAAAF/dRyg=",0)</f>
        <v>#REF!</v>
      </c>
      <c r="AP1" t="e">
        <f>AND(#REF!,"AAAAAF/dRyk=")</f>
        <v>#REF!</v>
      </c>
      <c r="AQ1" t="e">
        <f>AND(#REF!,"AAAAAF/dRyo=")</f>
        <v>#REF!</v>
      </c>
      <c r="AR1" t="e">
        <f>AND(#REF!,"AAAAAF/dRys=")</f>
        <v>#REF!</v>
      </c>
      <c r="AS1" t="e">
        <f>AND(#REF!,"AAAAAF/dRyw=")</f>
        <v>#REF!</v>
      </c>
      <c r="AT1" t="e">
        <f>AND(#REF!,"AAAAAF/dRy0=")</f>
        <v>#REF!</v>
      </c>
      <c r="AU1" t="e">
        <f>AND(#REF!,"AAAAAF/dRy4=")</f>
        <v>#REF!</v>
      </c>
      <c r="AV1" t="e">
        <f>AND(#REF!,"AAAAAF/dRy8=")</f>
        <v>#REF!</v>
      </c>
      <c r="AW1" t="e">
        <f>AND(#REF!,"AAAAAF/dRzA=")</f>
        <v>#REF!</v>
      </c>
      <c r="AX1" t="e">
        <f>AND(#REF!,"AAAAAF/dRzE=")</f>
        <v>#REF!</v>
      </c>
      <c r="AY1" t="e">
        <f>AND(#REF!,"AAAAAF/dRzI=")</f>
        <v>#REF!</v>
      </c>
      <c r="AZ1" t="e">
        <f>AND(#REF!,"AAAAAF/dRzM=")</f>
        <v>#REF!</v>
      </c>
      <c r="BA1" t="e">
        <f>AND(#REF!,"AAAAAF/dRzQ=")</f>
        <v>#REF!</v>
      </c>
      <c r="BB1" t="e">
        <f>AND(#REF!,"AAAAAF/dRzU=")</f>
        <v>#REF!</v>
      </c>
      <c r="BC1" t="e">
        <f>AND(#REF!,"AAAAAF/dRzY=")</f>
        <v>#REF!</v>
      </c>
      <c r="BD1" t="e">
        <f>AND(#REF!,"AAAAAF/dRzc=")</f>
        <v>#REF!</v>
      </c>
      <c r="BE1" t="e">
        <f>AND(#REF!,"AAAAAF/dRzg=")</f>
        <v>#REF!</v>
      </c>
      <c r="BF1" t="e">
        <f>AND(#REF!,"AAAAAF/dRzk=")</f>
        <v>#REF!</v>
      </c>
      <c r="BG1" t="e">
        <f>AND(#REF!,"AAAAAF/dRzo=")</f>
        <v>#REF!</v>
      </c>
      <c r="BH1" t="e">
        <f>AND(#REF!,"AAAAAF/dRzs=")</f>
        <v>#REF!</v>
      </c>
      <c r="BI1" t="e">
        <f>IF(#REF!,"AAAAAF/dRzw=",0)</f>
        <v>#REF!</v>
      </c>
      <c r="BJ1" t="e">
        <f>AND(#REF!,"AAAAAF/dRz0=")</f>
        <v>#REF!</v>
      </c>
      <c r="BK1" t="e">
        <f>AND(#REF!,"AAAAAF/dRz4=")</f>
        <v>#REF!</v>
      </c>
      <c r="BL1" t="e">
        <f>AND(#REF!,"AAAAAF/dRz8=")</f>
        <v>#REF!</v>
      </c>
      <c r="BM1" t="e">
        <f>AND(#REF!,"AAAAAF/dR0A=")</f>
        <v>#REF!</v>
      </c>
      <c r="BN1" t="e">
        <f>AND(#REF!,"AAAAAF/dR0E=")</f>
        <v>#REF!</v>
      </c>
      <c r="BO1" t="e">
        <f>AND(#REF!,"AAAAAF/dR0I=")</f>
        <v>#REF!</v>
      </c>
      <c r="BP1" t="e">
        <f>AND(#REF!,"AAAAAF/dR0M=")</f>
        <v>#REF!</v>
      </c>
      <c r="BQ1" t="e">
        <f>AND(#REF!,"AAAAAF/dR0Q=")</f>
        <v>#REF!</v>
      </c>
      <c r="BR1" t="e">
        <f>AND(#REF!,"AAAAAF/dR0U=")</f>
        <v>#REF!</v>
      </c>
      <c r="BS1" t="e">
        <f>AND(#REF!,"AAAAAF/dR0Y=")</f>
        <v>#REF!</v>
      </c>
      <c r="BT1" t="e">
        <f>AND(#REF!,"AAAAAF/dR0c=")</f>
        <v>#REF!</v>
      </c>
      <c r="BU1" t="e">
        <f>AND(#REF!,"AAAAAF/dR0g=")</f>
        <v>#REF!</v>
      </c>
      <c r="BV1" t="e">
        <f>AND(#REF!,"AAAAAF/dR0k=")</f>
        <v>#REF!</v>
      </c>
      <c r="BW1" t="e">
        <f>AND(#REF!,"AAAAAF/dR0o=")</f>
        <v>#REF!</v>
      </c>
      <c r="BX1" t="e">
        <f>AND(#REF!,"AAAAAF/dR0s=")</f>
        <v>#REF!</v>
      </c>
      <c r="BY1" t="e">
        <f>AND(#REF!,"AAAAAF/dR0w=")</f>
        <v>#REF!</v>
      </c>
      <c r="BZ1" t="e">
        <f>AND(#REF!,"AAAAAF/dR00=")</f>
        <v>#REF!</v>
      </c>
      <c r="CA1" t="e">
        <f>AND(#REF!,"AAAAAF/dR04=")</f>
        <v>#REF!</v>
      </c>
      <c r="CB1" t="e">
        <f>AND(#REF!,"AAAAAF/dR08=")</f>
        <v>#REF!</v>
      </c>
      <c r="CC1" t="e">
        <f>IF(#REF!,"AAAAAF/dR1A=",0)</f>
        <v>#REF!</v>
      </c>
      <c r="CD1" t="e">
        <f>AND(#REF!,"AAAAAF/dR1E=")</f>
        <v>#REF!</v>
      </c>
      <c r="CE1" t="e">
        <f>AND(#REF!,"AAAAAF/dR1I=")</f>
        <v>#REF!</v>
      </c>
      <c r="CF1" t="e">
        <f>AND(#REF!,"AAAAAF/dR1M=")</f>
        <v>#REF!</v>
      </c>
      <c r="CG1" t="e">
        <f>AND(#REF!,"AAAAAF/dR1Q=")</f>
        <v>#REF!</v>
      </c>
      <c r="CH1" t="e">
        <f>AND(#REF!,"AAAAAF/dR1U=")</f>
        <v>#REF!</v>
      </c>
      <c r="CI1" t="e">
        <f>AND(#REF!,"AAAAAF/dR1Y=")</f>
        <v>#REF!</v>
      </c>
      <c r="CJ1" t="e">
        <f>AND(#REF!,"AAAAAF/dR1c=")</f>
        <v>#REF!</v>
      </c>
      <c r="CK1" t="e">
        <f>AND(#REF!,"AAAAAF/dR1g=")</f>
        <v>#REF!</v>
      </c>
      <c r="CL1" t="e">
        <f>AND(#REF!,"AAAAAF/dR1k=")</f>
        <v>#REF!</v>
      </c>
      <c r="CM1" t="e">
        <f>AND(#REF!,"AAAAAF/dR1o=")</f>
        <v>#REF!</v>
      </c>
      <c r="CN1" t="e">
        <f>AND(#REF!,"AAAAAF/dR1s=")</f>
        <v>#REF!</v>
      </c>
      <c r="CO1" t="e">
        <f>AND(#REF!,"AAAAAF/dR1w=")</f>
        <v>#REF!</v>
      </c>
      <c r="CP1" t="e">
        <f>AND(#REF!,"AAAAAF/dR10=")</f>
        <v>#REF!</v>
      </c>
      <c r="CQ1" t="e">
        <f>AND(#REF!,"AAAAAF/dR14=")</f>
        <v>#REF!</v>
      </c>
      <c r="CR1" t="e">
        <f>AND(#REF!,"AAAAAF/dR18=")</f>
        <v>#REF!</v>
      </c>
      <c r="CS1" t="e">
        <f>AND(#REF!,"AAAAAF/dR2A=")</f>
        <v>#REF!</v>
      </c>
      <c r="CT1" t="e">
        <f>AND(#REF!,"AAAAAF/dR2E=")</f>
        <v>#REF!</v>
      </c>
      <c r="CU1" t="e">
        <f>AND(#REF!,"AAAAAF/dR2I=")</f>
        <v>#REF!</v>
      </c>
      <c r="CV1" t="e">
        <f>AND(#REF!,"AAAAAF/dR2M=")</f>
        <v>#REF!</v>
      </c>
      <c r="CW1" t="e">
        <f>IF(#REF!,"AAAAAF/dR2Q=",0)</f>
        <v>#REF!</v>
      </c>
      <c r="CX1" t="e">
        <f>AND(#REF!,"AAAAAF/dR2U=")</f>
        <v>#REF!</v>
      </c>
      <c r="CY1" t="e">
        <f>AND(#REF!,"AAAAAF/dR2Y=")</f>
        <v>#REF!</v>
      </c>
      <c r="CZ1" t="e">
        <f>AND(#REF!,"AAAAAF/dR2c=")</f>
        <v>#REF!</v>
      </c>
      <c r="DA1" t="e">
        <f>AND(#REF!,"AAAAAF/dR2g=")</f>
        <v>#REF!</v>
      </c>
      <c r="DB1" t="e">
        <f>AND(#REF!,"AAAAAF/dR2k=")</f>
        <v>#REF!</v>
      </c>
      <c r="DC1" t="e">
        <f>AND(#REF!,"AAAAAF/dR2o=")</f>
        <v>#REF!</v>
      </c>
      <c r="DD1" t="e">
        <f>AND(#REF!,"AAAAAF/dR2s=")</f>
        <v>#REF!</v>
      </c>
      <c r="DE1" t="e">
        <f>AND(#REF!,"AAAAAF/dR2w=")</f>
        <v>#REF!</v>
      </c>
      <c r="DF1" t="e">
        <f>AND(#REF!,"AAAAAF/dR20=")</f>
        <v>#REF!</v>
      </c>
      <c r="DG1" t="e">
        <f>AND(#REF!,"AAAAAF/dR24=")</f>
        <v>#REF!</v>
      </c>
      <c r="DH1" t="e">
        <f>AND(#REF!,"AAAAAF/dR28=")</f>
        <v>#REF!</v>
      </c>
      <c r="DI1" t="e">
        <f>AND(#REF!,"AAAAAF/dR3A=")</f>
        <v>#REF!</v>
      </c>
      <c r="DJ1" t="e">
        <f>AND(#REF!,"AAAAAF/dR3E=")</f>
        <v>#REF!</v>
      </c>
      <c r="DK1" t="e">
        <f>AND(#REF!,"AAAAAF/dR3I=")</f>
        <v>#REF!</v>
      </c>
      <c r="DL1" t="e">
        <f>AND(#REF!,"AAAAAF/dR3M=")</f>
        <v>#REF!</v>
      </c>
      <c r="DM1" t="e">
        <f>AND(#REF!,"AAAAAF/dR3Q=")</f>
        <v>#REF!</v>
      </c>
      <c r="DN1" t="e">
        <f>AND(#REF!,"AAAAAF/dR3U=")</f>
        <v>#REF!</v>
      </c>
      <c r="DO1" t="e">
        <f>AND(#REF!,"AAAAAF/dR3Y=")</f>
        <v>#REF!</v>
      </c>
      <c r="DP1" t="e">
        <f>AND(#REF!,"AAAAAF/dR3c=")</f>
        <v>#REF!</v>
      </c>
      <c r="DQ1" t="e">
        <f>IF(#REF!,"AAAAAF/dR3g=",0)</f>
        <v>#REF!</v>
      </c>
      <c r="DR1" t="e">
        <f>AND(#REF!,"AAAAAF/dR3k=")</f>
        <v>#REF!</v>
      </c>
      <c r="DS1" t="e">
        <f>AND(#REF!,"AAAAAF/dR3o=")</f>
        <v>#REF!</v>
      </c>
      <c r="DT1" t="e">
        <f>AND(#REF!,"AAAAAF/dR3s=")</f>
        <v>#REF!</v>
      </c>
      <c r="DU1" t="e">
        <f>AND(#REF!,"AAAAAF/dR3w=")</f>
        <v>#REF!</v>
      </c>
      <c r="DV1" t="e">
        <f>AND(#REF!,"AAAAAF/dR30=")</f>
        <v>#REF!</v>
      </c>
      <c r="DW1" t="e">
        <f>AND(#REF!,"AAAAAF/dR34=")</f>
        <v>#REF!</v>
      </c>
      <c r="DX1" t="e">
        <f>AND(#REF!,"AAAAAF/dR38=")</f>
        <v>#REF!</v>
      </c>
      <c r="DY1" t="e">
        <f>AND(#REF!,"AAAAAF/dR4A=")</f>
        <v>#REF!</v>
      </c>
      <c r="DZ1" t="e">
        <f>AND(#REF!,"AAAAAF/dR4E=")</f>
        <v>#REF!</v>
      </c>
      <c r="EA1" t="e">
        <f>AND(#REF!,"AAAAAF/dR4I=")</f>
        <v>#REF!</v>
      </c>
      <c r="EB1" t="e">
        <f>AND(#REF!,"AAAAAF/dR4M=")</f>
        <v>#REF!</v>
      </c>
      <c r="EC1" t="e">
        <f>AND(#REF!,"AAAAAF/dR4Q=")</f>
        <v>#REF!</v>
      </c>
      <c r="ED1" t="e">
        <f>AND(#REF!,"AAAAAF/dR4U=")</f>
        <v>#REF!</v>
      </c>
      <c r="EE1" t="e">
        <f>AND(#REF!,"AAAAAF/dR4Y=")</f>
        <v>#REF!</v>
      </c>
      <c r="EF1" t="e">
        <f>AND(#REF!,"AAAAAF/dR4c=")</f>
        <v>#REF!</v>
      </c>
      <c r="EG1" t="e">
        <f>AND(#REF!,"AAAAAF/dR4g=")</f>
        <v>#REF!</v>
      </c>
      <c r="EH1" t="e">
        <f>AND(#REF!,"AAAAAF/dR4k=")</f>
        <v>#REF!</v>
      </c>
      <c r="EI1" t="e">
        <f>AND(#REF!,"AAAAAF/dR4o=")</f>
        <v>#REF!</v>
      </c>
      <c r="EJ1" t="e">
        <f>AND(#REF!,"AAAAAF/dR4s=")</f>
        <v>#REF!</v>
      </c>
      <c r="EK1" t="e">
        <f>IF(#REF!,"AAAAAF/dR4w=",0)</f>
        <v>#REF!</v>
      </c>
      <c r="EL1" t="e">
        <f>AND(#REF!,"AAAAAF/dR40=")</f>
        <v>#REF!</v>
      </c>
      <c r="EM1" t="e">
        <f>AND(#REF!,"AAAAAF/dR44=")</f>
        <v>#REF!</v>
      </c>
      <c r="EN1" t="e">
        <f>AND(#REF!,"AAAAAF/dR48=")</f>
        <v>#REF!</v>
      </c>
      <c r="EO1" t="e">
        <f>AND(#REF!,"AAAAAF/dR5A=")</f>
        <v>#REF!</v>
      </c>
      <c r="EP1" t="e">
        <f>AND(#REF!,"AAAAAF/dR5E=")</f>
        <v>#REF!</v>
      </c>
      <c r="EQ1" t="e">
        <f>AND(#REF!,"AAAAAF/dR5I=")</f>
        <v>#REF!</v>
      </c>
      <c r="ER1" t="e">
        <f>AND(#REF!,"AAAAAF/dR5M=")</f>
        <v>#REF!</v>
      </c>
      <c r="ES1" t="e">
        <f>AND(#REF!,"AAAAAF/dR5Q=")</f>
        <v>#REF!</v>
      </c>
      <c r="ET1" t="e">
        <f>AND(#REF!,"AAAAAF/dR5U=")</f>
        <v>#REF!</v>
      </c>
      <c r="EU1" t="e">
        <f>AND(#REF!,"AAAAAF/dR5Y=")</f>
        <v>#REF!</v>
      </c>
      <c r="EV1" t="e">
        <f>AND(#REF!,"AAAAAF/dR5c=")</f>
        <v>#REF!</v>
      </c>
      <c r="EW1" t="e">
        <f>AND(#REF!,"AAAAAF/dR5g=")</f>
        <v>#REF!</v>
      </c>
      <c r="EX1" t="e">
        <f>AND(#REF!,"AAAAAF/dR5k=")</f>
        <v>#REF!</v>
      </c>
      <c r="EY1" t="e">
        <f>AND(#REF!,"AAAAAF/dR5o=")</f>
        <v>#REF!</v>
      </c>
      <c r="EZ1" t="e">
        <f>AND(#REF!,"AAAAAF/dR5s=")</f>
        <v>#REF!</v>
      </c>
      <c r="FA1" t="e">
        <f>AND(#REF!,"AAAAAF/dR5w=")</f>
        <v>#REF!</v>
      </c>
      <c r="FB1" t="e">
        <f>AND(#REF!,"AAAAAF/dR50=")</f>
        <v>#REF!</v>
      </c>
      <c r="FC1" t="e">
        <f>AND(#REF!,"AAAAAF/dR54=")</f>
        <v>#REF!</v>
      </c>
      <c r="FD1" t="e">
        <f>AND(#REF!,"AAAAAF/dR58=")</f>
        <v>#REF!</v>
      </c>
      <c r="FE1" t="e">
        <f>IF(#REF!,"AAAAAF/dR6A=",0)</f>
        <v>#REF!</v>
      </c>
      <c r="FF1" t="e">
        <f>AND(#REF!,"AAAAAF/dR6E=")</f>
        <v>#REF!</v>
      </c>
      <c r="FG1" t="e">
        <f>AND(#REF!,"AAAAAF/dR6I=")</f>
        <v>#REF!</v>
      </c>
      <c r="FH1" t="e">
        <f>AND(#REF!,"AAAAAF/dR6M=")</f>
        <v>#REF!</v>
      </c>
      <c r="FI1" t="e">
        <f>AND(#REF!,"AAAAAF/dR6Q=")</f>
        <v>#REF!</v>
      </c>
      <c r="FJ1" t="e">
        <f>AND(#REF!,"AAAAAF/dR6U=")</f>
        <v>#REF!</v>
      </c>
      <c r="FK1" t="e">
        <f>AND(#REF!,"AAAAAF/dR6Y=")</f>
        <v>#REF!</v>
      </c>
      <c r="FL1" t="e">
        <f>AND(#REF!,"AAAAAF/dR6c=")</f>
        <v>#REF!</v>
      </c>
      <c r="FM1" t="e">
        <f>AND(#REF!,"AAAAAF/dR6g=")</f>
        <v>#REF!</v>
      </c>
      <c r="FN1" t="e">
        <f>AND(#REF!,"AAAAAF/dR6k=")</f>
        <v>#REF!</v>
      </c>
      <c r="FO1" t="e">
        <f>AND(#REF!,"AAAAAF/dR6o=")</f>
        <v>#REF!</v>
      </c>
      <c r="FP1" t="e">
        <f>AND(#REF!,"AAAAAF/dR6s=")</f>
        <v>#REF!</v>
      </c>
      <c r="FQ1" t="e">
        <f>AND(#REF!,"AAAAAF/dR6w=")</f>
        <v>#REF!</v>
      </c>
      <c r="FR1" t="e">
        <f>AND(#REF!,"AAAAAF/dR60=")</f>
        <v>#REF!</v>
      </c>
      <c r="FS1" t="e">
        <f>AND(#REF!,"AAAAAF/dR64=")</f>
        <v>#REF!</v>
      </c>
      <c r="FT1" t="e">
        <f>AND(#REF!,"AAAAAF/dR68=")</f>
        <v>#REF!</v>
      </c>
      <c r="FU1" t="e">
        <f>AND(#REF!,"AAAAAF/dR7A=")</f>
        <v>#REF!</v>
      </c>
      <c r="FV1" t="e">
        <f>AND(#REF!,"AAAAAF/dR7E=")</f>
        <v>#REF!</v>
      </c>
      <c r="FW1" t="e">
        <f>AND(#REF!,"AAAAAF/dR7I=")</f>
        <v>#REF!</v>
      </c>
      <c r="FX1" t="e">
        <f>AND(#REF!,"AAAAAF/dR7M=")</f>
        <v>#REF!</v>
      </c>
      <c r="FY1" t="e">
        <f>IF(#REF!,"AAAAAF/dR7Q=",0)</f>
        <v>#REF!</v>
      </c>
      <c r="FZ1" t="e">
        <f>AND(#REF!,"AAAAAF/dR7U=")</f>
        <v>#REF!</v>
      </c>
      <c r="GA1" t="e">
        <f>AND(#REF!,"AAAAAF/dR7Y=")</f>
        <v>#REF!</v>
      </c>
      <c r="GB1" t="e">
        <f>AND(#REF!,"AAAAAF/dR7c=")</f>
        <v>#REF!</v>
      </c>
      <c r="GC1" t="e">
        <f>AND(#REF!,"AAAAAF/dR7g=")</f>
        <v>#REF!</v>
      </c>
      <c r="GD1" t="e">
        <f>AND(#REF!,"AAAAAF/dR7k=")</f>
        <v>#REF!</v>
      </c>
      <c r="GE1" t="e">
        <f>AND(#REF!,"AAAAAF/dR7o=")</f>
        <v>#REF!</v>
      </c>
      <c r="GF1" t="e">
        <f>AND(#REF!,"AAAAAF/dR7s=")</f>
        <v>#REF!</v>
      </c>
      <c r="GG1" t="e">
        <f>AND(#REF!,"AAAAAF/dR7w=")</f>
        <v>#REF!</v>
      </c>
      <c r="GH1" t="e">
        <f>AND(#REF!,"AAAAAF/dR70=")</f>
        <v>#REF!</v>
      </c>
      <c r="GI1" t="e">
        <f>AND(#REF!,"AAAAAF/dR74=")</f>
        <v>#REF!</v>
      </c>
      <c r="GJ1" t="e">
        <f>AND(#REF!,"AAAAAF/dR78=")</f>
        <v>#REF!</v>
      </c>
      <c r="GK1" t="e">
        <f>AND(#REF!,"AAAAAF/dR8A=")</f>
        <v>#REF!</v>
      </c>
      <c r="GL1" t="e">
        <f>AND(#REF!,"AAAAAF/dR8E=")</f>
        <v>#REF!</v>
      </c>
      <c r="GM1" t="e">
        <f>AND(#REF!,"AAAAAF/dR8I=")</f>
        <v>#REF!</v>
      </c>
      <c r="GN1" t="e">
        <f>AND(#REF!,"AAAAAF/dR8M=")</f>
        <v>#REF!</v>
      </c>
      <c r="GO1" t="e">
        <f>AND(#REF!,"AAAAAF/dR8Q=")</f>
        <v>#REF!</v>
      </c>
      <c r="GP1" t="e">
        <f>AND(#REF!,"AAAAAF/dR8U=")</f>
        <v>#REF!</v>
      </c>
      <c r="GQ1" t="e">
        <f>AND(#REF!,"AAAAAF/dR8Y=")</f>
        <v>#REF!</v>
      </c>
      <c r="GR1" t="e">
        <f>AND(#REF!,"AAAAAF/dR8c=")</f>
        <v>#REF!</v>
      </c>
      <c r="GS1" t="e">
        <f>IF(#REF!,"AAAAAF/dR8g=",0)</f>
        <v>#REF!</v>
      </c>
      <c r="GT1" t="e">
        <f>AND(#REF!,"AAAAAF/dR8k=")</f>
        <v>#REF!</v>
      </c>
      <c r="GU1" t="e">
        <f>AND(#REF!,"AAAAAF/dR8o=")</f>
        <v>#REF!</v>
      </c>
      <c r="GV1" t="e">
        <f>AND(#REF!,"AAAAAF/dR8s=")</f>
        <v>#REF!</v>
      </c>
      <c r="GW1" t="e">
        <f>AND(#REF!,"AAAAAF/dR8w=")</f>
        <v>#REF!</v>
      </c>
      <c r="GX1" t="e">
        <f>AND(#REF!,"AAAAAF/dR80=")</f>
        <v>#REF!</v>
      </c>
      <c r="GY1" t="e">
        <f>AND(#REF!,"AAAAAF/dR84=")</f>
        <v>#REF!</v>
      </c>
      <c r="GZ1" t="e">
        <f>AND(#REF!,"AAAAAF/dR88=")</f>
        <v>#REF!</v>
      </c>
      <c r="HA1" t="e">
        <f>AND(#REF!,"AAAAAF/dR9A=")</f>
        <v>#REF!</v>
      </c>
      <c r="HB1" t="e">
        <f>AND(#REF!,"AAAAAF/dR9E=")</f>
        <v>#REF!</v>
      </c>
      <c r="HC1" t="e">
        <f>AND(#REF!,"AAAAAF/dR9I=")</f>
        <v>#REF!</v>
      </c>
      <c r="HD1" t="e">
        <f>AND(#REF!,"AAAAAF/dR9M=")</f>
        <v>#REF!</v>
      </c>
      <c r="HE1" t="e">
        <f>AND(#REF!,"AAAAAF/dR9Q=")</f>
        <v>#REF!</v>
      </c>
      <c r="HF1" t="e">
        <f>AND(#REF!,"AAAAAF/dR9U=")</f>
        <v>#REF!</v>
      </c>
      <c r="HG1" t="e">
        <f>AND(#REF!,"AAAAAF/dR9Y=")</f>
        <v>#REF!</v>
      </c>
      <c r="HH1" t="e">
        <f>AND(#REF!,"AAAAAF/dR9c=")</f>
        <v>#REF!</v>
      </c>
      <c r="HI1" t="e">
        <f>AND(#REF!,"AAAAAF/dR9g=")</f>
        <v>#REF!</v>
      </c>
      <c r="HJ1" t="e">
        <f>AND(#REF!,"AAAAAF/dR9k=")</f>
        <v>#REF!</v>
      </c>
      <c r="HK1" t="e">
        <f>AND(#REF!,"AAAAAF/dR9o=")</f>
        <v>#REF!</v>
      </c>
      <c r="HL1" t="e">
        <f>AND(#REF!,"AAAAAF/dR9s=")</f>
        <v>#REF!</v>
      </c>
      <c r="HM1" t="e">
        <f>IF(#REF!,"AAAAAF/dR9w=",0)</f>
        <v>#REF!</v>
      </c>
      <c r="HN1" t="e">
        <f>AND(#REF!,"AAAAAF/dR90=")</f>
        <v>#REF!</v>
      </c>
      <c r="HO1" t="e">
        <f>AND(#REF!,"AAAAAF/dR94=")</f>
        <v>#REF!</v>
      </c>
      <c r="HP1" t="e">
        <f>AND(#REF!,"AAAAAF/dR98=")</f>
        <v>#REF!</v>
      </c>
      <c r="HQ1" t="e">
        <f>AND(#REF!,"AAAAAF/dR+A=")</f>
        <v>#REF!</v>
      </c>
      <c r="HR1" t="e">
        <f>AND(#REF!,"AAAAAF/dR+E=")</f>
        <v>#REF!</v>
      </c>
      <c r="HS1" t="e">
        <f>AND(#REF!,"AAAAAF/dR+I=")</f>
        <v>#REF!</v>
      </c>
      <c r="HT1" t="e">
        <f>AND(#REF!,"AAAAAF/dR+M=")</f>
        <v>#REF!</v>
      </c>
      <c r="HU1" t="e">
        <f>AND(#REF!,"AAAAAF/dR+Q=")</f>
        <v>#REF!</v>
      </c>
      <c r="HV1" t="e">
        <f>AND(#REF!,"AAAAAF/dR+U=")</f>
        <v>#REF!</v>
      </c>
      <c r="HW1" t="e">
        <f>AND(#REF!,"AAAAAF/dR+Y=")</f>
        <v>#REF!</v>
      </c>
      <c r="HX1" t="e">
        <f>AND(#REF!,"AAAAAF/dR+c=")</f>
        <v>#REF!</v>
      </c>
      <c r="HY1" t="e">
        <f>AND(#REF!,"AAAAAF/dR+g=")</f>
        <v>#REF!</v>
      </c>
      <c r="HZ1" t="e">
        <f>AND(#REF!,"AAAAAF/dR+k=")</f>
        <v>#REF!</v>
      </c>
      <c r="IA1" t="e">
        <f>AND(#REF!,"AAAAAF/dR+o=")</f>
        <v>#REF!</v>
      </c>
      <c r="IB1" t="e">
        <f>AND(#REF!,"AAAAAF/dR+s=")</f>
        <v>#REF!</v>
      </c>
      <c r="IC1" t="e">
        <f>AND(#REF!,"AAAAAF/dR+w=")</f>
        <v>#REF!</v>
      </c>
      <c r="ID1" t="e">
        <f>AND(#REF!,"AAAAAF/dR+0=")</f>
        <v>#REF!</v>
      </c>
      <c r="IE1" t="e">
        <f>AND(#REF!,"AAAAAF/dR+4=")</f>
        <v>#REF!</v>
      </c>
      <c r="IF1" t="e">
        <f>AND(#REF!,"AAAAAF/dR+8=")</f>
        <v>#REF!</v>
      </c>
      <c r="IG1" t="e">
        <f>IF(#REF!,"AAAAAF/dR/A=",0)</f>
        <v>#REF!</v>
      </c>
      <c r="IH1" t="e">
        <f>AND(#REF!,"AAAAAF/dR/E=")</f>
        <v>#REF!</v>
      </c>
      <c r="II1" t="e">
        <f>AND(#REF!,"AAAAAF/dR/I=")</f>
        <v>#REF!</v>
      </c>
      <c r="IJ1" t="e">
        <f>AND(#REF!,"AAAAAF/dR/M=")</f>
        <v>#REF!</v>
      </c>
      <c r="IK1" t="e">
        <f>AND(#REF!,"AAAAAF/dR/Q=")</f>
        <v>#REF!</v>
      </c>
      <c r="IL1" t="e">
        <f>AND(#REF!,"AAAAAF/dR/U=")</f>
        <v>#REF!</v>
      </c>
      <c r="IM1" t="e">
        <f>AND(#REF!,"AAAAAF/dR/Y=")</f>
        <v>#REF!</v>
      </c>
      <c r="IN1" t="e">
        <f>AND(#REF!,"AAAAAF/dR/c=")</f>
        <v>#REF!</v>
      </c>
      <c r="IO1" t="e">
        <f>AND(#REF!,"AAAAAF/dR/g=")</f>
        <v>#REF!</v>
      </c>
      <c r="IP1" t="e">
        <f>AND(#REF!,"AAAAAF/dR/k=")</f>
        <v>#REF!</v>
      </c>
      <c r="IQ1" t="e">
        <f>AND(#REF!,"AAAAAF/dR/o=")</f>
        <v>#REF!</v>
      </c>
      <c r="IR1" t="e">
        <f>AND(#REF!,"AAAAAF/dR/s=")</f>
        <v>#REF!</v>
      </c>
      <c r="IS1" t="e">
        <f>AND(#REF!,"AAAAAF/dR/w=")</f>
        <v>#REF!</v>
      </c>
      <c r="IT1" t="e">
        <f>AND(#REF!,"AAAAAF/dR/0=")</f>
        <v>#REF!</v>
      </c>
      <c r="IU1" t="e">
        <f>AND(#REF!,"AAAAAF/dR/4=")</f>
        <v>#REF!</v>
      </c>
      <c r="IV1" t="e">
        <f>AND(#REF!,"AAAAAF/dR/8=")</f>
        <v>#REF!</v>
      </c>
    </row>
    <row r="2" spans="1:256" x14ac:dyDescent="0.15">
      <c r="A2" t="e">
        <f>AND(#REF!,"AAAAAD6c7wA=")</f>
        <v>#REF!</v>
      </c>
      <c r="B2" t="e">
        <f>AND(#REF!,"AAAAAD6c7wE=")</f>
        <v>#REF!</v>
      </c>
      <c r="C2" t="e">
        <f>AND(#REF!,"AAAAAD6c7wI=")</f>
        <v>#REF!</v>
      </c>
      <c r="D2" t="e">
        <f>AND(#REF!,"AAAAAD6c7wM=")</f>
        <v>#REF!</v>
      </c>
      <c r="E2" t="e">
        <f>IF(#REF!,"AAAAAD6c7wQ=",0)</f>
        <v>#REF!</v>
      </c>
      <c r="F2" t="e">
        <f>AND(#REF!,"AAAAAD6c7wU=")</f>
        <v>#REF!</v>
      </c>
      <c r="G2" t="e">
        <f>AND(#REF!,"AAAAAD6c7wY=")</f>
        <v>#REF!</v>
      </c>
      <c r="H2" t="e">
        <f>AND(#REF!,"AAAAAD6c7wc=")</f>
        <v>#REF!</v>
      </c>
      <c r="I2" t="e">
        <f>AND(#REF!,"AAAAAD6c7wg=")</f>
        <v>#REF!</v>
      </c>
      <c r="J2" t="e">
        <f>AND(#REF!,"AAAAAD6c7wk=")</f>
        <v>#REF!</v>
      </c>
      <c r="K2" t="e">
        <f>AND(#REF!,"AAAAAD6c7wo=")</f>
        <v>#REF!</v>
      </c>
      <c r="L2" t="e">
        <f>AND(#REF!,"AAAAAD6c7ws=")</f>
        <v>#REF!</v>
      </c>
      <c r="M2" t="e">
        <f>AND(#REF!,"AAAAAD6c7ww=")</f>
        <v>#REF!</v>
      </c>
      <c r="N2" t="e">
        <f>AND(#REF!,"AAAAAD6c7w0=")</f>
        <v>#REF!</v>
      </c>
      <c r="O2" t="e">
        <f>AND(#REF!,"AAAAAD6c7w4=")</f>
        <v>#REF!</v>
      </c>
      <c r="P2" t="e">
        <f>AND(#REF!,"AAAAAD6c7w8=")</f>
        <v>#REF!</v>
      </c>
      <c r="Q2" t="e">
        <f>AND(#REF!,"AAAAAD6c7xA=")</f>
        <v>#REF!</v>
      </c>
      <c r="R2" t="e">
        <f>AND(#REF!,"AAAAAD6c7xE=")</f>
        <v>#REF!</v>
      </c>
      <c r="S2" t="e">
        <f>AND(#REF!,"AAAAAD6c7xI=")</f>
        <v>#REF!</v>
      </c>
      <c r="T2" t="e">
        <f>AND(#REF!,"AAAAAD6c7xM=")</f>
        <v>#REF!</v>
      </c>
      <c r="U2" t="e">
        <f>AND(#REF!,"AAAAAD6c7xQ=")</f>
        <v>#REF!</v>
      </c>
      <c r="V2" t="e">
        <f>AND(#REF!,"AAAAAD6c7xU=")</f>
        <v>#REF!</v>
      </c>
      <c r="W2" t="e">
        <f>AND(#REF!,"AAAAAD6c7xY=")</f>
        <v>#REF!</v>
      </c>
      <c r="X2" t="e">
        <f>AND(#REF!,"AAAAAD6c7xc=")</f>
        <v>#REF!</v>
      </c>
      <c r="Y2" t="e">
        <f>IF(#REF!,"AAAAAD6c7xg=",0)</f>
        <v>#REF!</v>
      </c>
      <c r="Z2" t="e">
        <f>AND(#REF!,"AAAAAD6c7xk=")</f>
        <v>#REF!</v>
      </c>
      <c r="AA2" t="e">
        <f>AND(#REF!,"AAAAAD6c7xo=")</f>
        <v>#REF!</v>
      </c>
      <c r="AB2" t="e">
        <f>AND(#REF!,"AAAAAD6c7xs=")</f>
        <v>#REF!</v>
      </c>
      <c r="AC2" t="e">
        <f>AND(#REF!,"AAAAAD6c7xw=")</f>
        <v>#REF!</v>
      </c>
      <c r="AD2" t="e">
        <f>AND(#REF!,"AAAAAD6c7x0=")</f>
        <v>#REF!</v>
      </c>
      <c r="AE2" t="e">
        <f>AND(#REF!,"AAAAAD6c7x4=")</f>
        <v>#REF!</v>
      </c>
      <c r="AF2" t="e">
        <f>AND(#REF!,"AAAAAD6c7x8=")</f>
        <v>#REF!</v>
      </c>
      <c r="AG2" t="e">
        <f>AND(#REF!,"AAAAAD6c7yA=")</f>
        <v>#REF!</v>
      </c>
      <c r="AH2" t="e">
        <f>AND(#REF!,"AAAAAD6c7yE=")</f>
        <v>#REF!</v>
      </c>
      <c r="AI2" t="e">
        <f>AND(#REF!,"AAAAAD6c7yI=")</f>
        <v>#REF!</v>
      </c>
      <c r="AJ2" t="e">
        <f>AND(#REF!,"AAAAAD6c7yM=")</f>
        <v>#REF!</v>
      </c>
      <c r="AK2" t="e">
        <f>AND(#REF!,"AAAAAD6c7yQ=")</f>
        <v>#REF!</v>
      </c>
      <c r="AL2" t="e">
        <f>AND(#REF!,"AAAAAD6c7yU=")</f>
        <v>#REF!</v>
      </c>
      <c r="AM2" t="e">
        <f>AND(#REF!,"AAAAAD6c7yY=")</f>
        <v>#REF!</v>
      </c>
      <c r="AN2" t="e">
        <f>AND(#REF!,"AAAAAD6c7yc=")</f>
        <v>#REF!</v>
      </c>
      <c r="AO2" t="e">
        <f>AND(#REF!,"AAAAAD6c7yg=")</f>
        <v>#REF!</v>
      </c>
      <c r="AP2" t="e">
        <f>AND(#REF!,"AAAAAD6c7yk=")</f>
        <v>#REF!</v>
      </c>
      <c r="AQ2" t="e">
        <f>AND(#REF!,"AAAAAD6c7yo=")</f>
        <v>#REF!</v>
      </c>
      <c r="AR2" t="e">
        <f>AND(#REF!,"AAAAAD6c7ys=")</f>
        <v>#REF!</v>
      </c>
      <c r="AS2" t="e">
        <f>IF(#REF!,"AAAAAD6c7yw=",0)</f>
        <v>#REF!</v>
      </c>
      <c r="AT2" t="e">
        <f>AND(#REF!,"AAAAAD6c7y0=")</f>
        <v>#REF!</v>
      </c>
      <c r="AU2" t="e">
        <f>AND(#REF!,"AAAAAD6c7y4=")</f>
        <v>#REF!</v>
      </c>
      <c r="AV2" t="e">
        <f>AND(#REF!,"AAAAAD6c7y8=")</f>
        <v>#REF!</v>
      </c>
      <c r="AW2" t="e">
        <f>AND(#REF!,"AAAAAD6c7zA=")</f>
        <v>#REF!</v>
      </c>
      <c r="AX2" t="e">
        <f>AND(#REF!,"AAAAAD6c7zE=")</f>
        <v>#REF!</v>
      </c>
      <c r="AY2" t="e">
        <f>AND(#REF!,"AAAAAD6c7zI=")</f>
        <v>#REF!</v>
      </c>
      <c r="AZ2" t="e">
        <f>AND(#REF!,"AAAAAD6c7zM=")</f>
        <v>#REF!</v>
      </c>
      <c r="BA2" t="e">
        <f>AND(#REF!,"AAAAAD6c7zQ=")</f>
        <v>#REF!</v>
      </c>
      <c r="BB2" t="e">
        <f>AND(#REF!,"AAAAAD6c7zU=")</f>
        <v>#REF!</v>
      </c>
      <c r="BC2" t="e">
        <f>AND(#REF!,"AAAAAD6c7zY=")</f>
        <v>#REF!</v>
      </c>
      <c r="BD2" t="e">
        <f>AND(#REF!,"AAAAAD6c7zc=")</f>
        <v>#REF!</v>
      </c>
      <c r="BE2" t="e">
        <f>AND(#REF!,"AAAAAD6c7zg=")</f>
        <v>#REF!</v>
      </c>
      <c r="BF2" t="e">
        <f>AND(#REF!,"AAAAAD6c7zk=")</f>
        <v>#REF!</v>
      </c>
      <c r="BG2" t="e">
        <f>AND(#REF!,"AAAAAD6c7zo=")</f>
        <v>#REF!</v>
      </c>
      <c r="BH2" t="e">
        <f>AND(#REF!,"AAAAAD6c7zs=")</f>
        <v>#REF!</v>
      </c>
      <c r="BI2" t="e">
        <f>AND(#REF!,"AAAAAD6c7zw=")</f>
        <v>#REF!</v>
      </c>
      <c r="BJ2" t="e">
        <f>AND(#REF!,"AAAAAD6c7z0=")</f>
        <v>#REF!</v>
      </c>
      <c r="BK2" t="e">
        <f>AND(#REF!,"AAAAAD6c7z4=")</f>
        <v>#REF!</v>
      </c>
      <c r="BL2" t="e">
        <f>AND(#REF!,"AAAAAD6c7z8=")</f>
        <v>#REF!</v>
      </c>
      <c r="BM2" t="e">
        <f>IF(#REF!,"AAAAAD6c70A=",0)</f>
        <v>#REF!</v>
      </c>
      <c r="BN2" t="e">
        <f>AND(#REF!,"AAAAAD6c70E=")</f>
        <v>#REF!</v>
      </c>
      <c r="BO2" t="e">
        <f>AND(#REF!,"AAAAAD6c70I=")</f>
        <v>#REF!</v>
      </c>
      <c r="BP2" t="e">
        <f>AND(#REF!,"AAAAAD6c70M=")</f>
        <v>#REF!</v>
      </c>
      <c r="BQ2" t="e">
        <f>AND(#REF!,"AAAAAD6c70Q=")</f>
        <v>#REF!</v>
      </c>
      <c r="BR2" t="e">
        <f>AND(#REF!,"AAAAAD6c70U=")</f>
        <v>#REF!</v>
      </c>
      <c r="BS2" t="e">
        <f>AND(#REF!,"AAAAAD6c70Y=")</f>
        <v>#REF!</v>
      </c>
      <c r="BT2" t="e">
        <f>AND(#REF!,"AAAAAD6c70c=")</f>
        <v>#REF!</v>
      </c>
      <c r="BU2" t="e">
        <f>AND(#REF!,"AAAAAD6c70g=")</f>
        <v>#REF!</v>
      </c>
      <c r="BV2" t="e">
        <f>AND(#REF!,"AAAAAD6c70k=")</f>
        <v>#REF!</v>
      </c>
      <c r="BW2" t="e">
        <f>AND(#REF!,"AAAAAD6c70o=")</f>
        <v>#REF!</v>
      </c>
      <c r="BX2" t="e">
        <f>AND(#REF!,"AAAAAD6c70s=")</f>
        <v>#REF!</v>
      </c>
      <c r="BY2" t="e">
        <f>AND(#REF!,"AAAAAD6c70w=")</f>
        <v>#REF!</v>
      </c>
      <c r="BZ2" t="e">
        <f>AND(#REF!,"AAAAAD6c700=")</f>
        <v>#REF!</v>
      </c>
      <c r="CA2" t="e">
        <f>AND(#REF!,"AAAAAD6c704=")</f>
        <v>#REF!</v>
      </c>
      <c r="CB2" t="e">
        <f>AND(#REF!,"AAAAAD6c708=")</f>
        <v>#REF!</v>
      </c>
      <c r="CC2" t="e">
        <f>AND(#REF!,"AAAAAD6c71A=")</f>
        <v>#REF!</v>
      </c>
      <c r="CD2" t="e">
        <f>AND(#REF!,"AAAAAD6c71E=")</f>
        <v>#REF!</v>
      </c>
      <c r="CE2" t="e">
        <f>AND(#REF!,"AAAAAD6c71I=")</f>
        <v>#REF!</v>
      </c>
      <c r="CF2" t="e">
        <f>AND(#REF!,"AAAAAD6c71M=")</f>
        <v>#REF!</v>
      </c>
      <c r="CG2" t="e">
        <f>IF(#REF!,"AAAAAD6c71Q=",0)</f>
        <v>#REF!</v>
      </c>
      <c r="CH2" t="e">
        <f>AND(#REF!,"AAAAAD6c71U=")</f>
        <v>#REF!</v>
      </c>
      <c r="CI2" t="e">
        <f>AND(#REF!,"AAAAAD6c71Y=")</f>
        <v>#REF!</v>
      </c>
      <c r="CJ2" t="e">
        <f>AND(#REF!,"AAAAAD6c71c=")</f>
        <v>#REF!</v>
      </c>
      <c r="CK2" t="e">
        <f>AND(#REF!,"AAAAAD6c71g=")</f>
        <v>#REF!</v>
      </c>
      <c r="CL2" t="e">
        <f>AND(#REF!,"AAAAAD6c71k=")</f>
        <v>#REF!</v>
      </c>
      <c r="CM2" t="e">
        <f>AND(#REF!,"AAAAAD6c71o=")</f>
        <v>#REF!</v>
      </c>
      <c r="CN2" t="e">
        <f>AND(#REF!,"AAAAAD6c71s=")</f>
        <v>#REF!</v>
      </c>
      <c r="CO2" t="e">
        <f>AND(#REF!,"AAAAAD6c71w=")</f>
        <v>#REF!</v>
      </c>
      <c r="CP2" t="e">
        <f>AND(#REF!,"AAAAAD6c710=")</f>
        <v>#REF!</v>
      </c>
      <c r="CQ2" t="e">
        <f>AND(#REF!,"AAAAAD6c714=")</f>
        <v>#REF!</v>
      </c>
      <c r="CR2" t="e">
        <f>AND(#REF!,"AAAAAD6c718=")</f>
        <v>#REF!</v>
      </c>
      <c r="CS2" t="e">
        <f>AND(#REF!,"AAAAAD6c72A=")</f>
        <v>#REF!</v>
      </c>
      <c r="CT2" t="e">
        <f>AND(#REF!,"AAAAAD6c72E=")</f>
        <v>#REF!</v>
      </c>
      <c r="CU2" t="e">
        <f>AND(#REF!,"AAAAAD6c72I=")</f>
        <v>#REF!</v>
      </c>
      <c r="CV2" t="e">
        <f>AND(#REF!,"AAAAAD6c72M=")</f>
        <v>#REF!</v>
      </c>
      <c r="CW2" t="e">
        <f>AND(#REF!,"AAAAAD6c72Q=")</f>
        <v>#REF!</v>
      </c>
      <c r="CX2" t="e">
        <f>AND(#REF!,"AAAAAD6c72U=")</f>
        <v>#REF!</v>
      </c>
      <c r="CY2" t="e">
        <f>AND(#REF!,"AAAAAD6c72Y=")</f>
        <v>#REF!</v>
      </c>
      <c r="CZ2" t="e">
        <f>AND(#REF!,"AAAAAD6c72c=")</f>
        <v>#REF!</v>
      </c>
      <c r="DA2" t="e">
        <f>IF(#REF!,"AAAAAD6c72g=",0)</f>
        <v>#REF!</v>
      </c>
      <c r="DB2" t="e">
        <f>AND(#REF!,"AAAAAD6c72k=")</f>
        <v>#REF!</v>
      </c>
      <c r="DC2" t="e">
        <f>AND(#REF!,"AAAAAD6c72o=")</f>
        <v>#REF!</v>
      </c>
      <c r="DD2" t="e">
        <f>AND(#REF!,"AAAAAD6c72s=")</f>
        <v>#REF!</v>
      </c>
      <c r="DE2" t="e">
        <f>AND(#REF!,"AAAAAD6c72w=")</f>
        <v>#REF!</v>
      </c>
      <c r="DF2" t="e">
        <f>AND(#REF!,"AAAAAD6c720=")</f>
        <v>#REF!</v>
      </c>
      <c r="DG2" t="e">
        <f>AND(#REF!,"AAAAAD6c724=")</f>
        <v>#REF!</v>
      </c>
      <c r="DH2" t="e">
        <f>AND(#REF!,"AAAAAD6c728=")</f>
        <v>#REF!</v>
      </c>
      <c r="DI2" t="e">
        <f>AND(#REF!,"AAAAAD6c73A=")</f>
        <v>#REF!</v>
      </c>
      <c r="DJ2" t="e">
        <f>AND(#REF!,"AAAAAD6c73E=")</f>
        <v>#REF!</v>
      </c>
      <c r="DK2" t="e">
        <f>AND(#REF!,"AAAAAD6c73I=")</f>
        <v>#REF!</v>
      </c>
      <c r="DL2" t="e">
        <f>AND(#REF!,"AAAAAD6c73M=")</f>
        <v>#REF!</v>
      </c>
      <c r="DM2" t="e">
        <f>AND(#REF!,"AAAAAD6c73Q=")</f>
        <v>#REF!</v>
      </c>
      <c r="DN2" t="e">
        <f>AND(#REF!,"AAAAAD6c73U=")</f>
        <v>#REF!</v>
      </c>
      <c r="DO2" t="e">
        <f>AND(#REF!,"AAAAAD6c73Y=")</f>
        <v>#REF!</v>
      </c>
      <c r="DP2" t="e">
        <f>AND(#REF!,"AAAAAD6c73c=")</f>
        <v>#REF!</v>
      </c>
      <c r="DQ2" t="e">
        <f>AND(#REF!,"AAAAAD6c73g=")</f>
        <v>#REF!</v>
      </c>
      <c r="DR2" t="e">
        <f>AND(#REF!,"AAAAAD6c73k=")</f>
        <v>#REF!</v>
      </c>
      <c r="DS2" t="e">
        <f>AND(#REF!,"AAAAAD6c73o=")</f>
        <v>#REF!</v>
      </c>
      <c r="DT2" t="e">
        <f>AND(#REF!,"AAAAAD6c73s=")</f>
        <v>#REF!</v>
      </c>
      <c r="DU2" t="e">
        <f>IF(#REF!,"AAAAAD6c73w=",0)</f>
        <v>#REF!</v>
      </c>
      <c r="DV2" t="e">
        <f>AND(#REF!,"AAAAAD6c730=")</f>
        <v>#REF!</v>
      </c>
      <c r="DW2" t="e">
        <f>AND(#REF!,"AAAAAD6c734=")</f>
        <v>#REF!</v>
      </c>
      <c r="DX2" t="e">
        <f>AND(#REF!,"AAAAAD6c738=")</f>
        <v>#REF!</v>
      </c>
      <c r="DY2" t="e">
        <f>AND(#REF!,"AAAAAD6c74A=")</f>
        <v>#REF!</v>
      </c>
      <c r="DZ2" t="e">
        <f>AND(#REF!,"AAAAAD6c74E=")</f>
        <v>#REF!</v>
      </c>
      <c r="EA2" t="e">
        <f>AND(#REF!,"AAAAAD6c74I=")</f>
        <v>#REF!</v>
      </c>
      <c r="EB2" t="e">
        <f>AND(#REF!,"AAAAAD6c74M=")</f>
        <v>#REF!</v>
      </c>
      <c r="EC2" t="e">
        <f>AND(#REF!,"AAAAAD6c74Q=")</f>
        <v>#REF!</v>
      </c>
      <c r="ED2" t="e">
        <f>AND(#REF!,"AAAAAD6c74U=")</f>
        <v>#REF!</v>
      </c>
      <c r="EE2" t="e">
        <f>AND(#REF!,"AAAAAD6c74Y=")</f>
        <v>#REF!</v>
      </c>
      <c r="EF2" t="e">
        <f>AND(#REF!,"AAAAAD6c74c=")</f>
        <v>#REF!</v>
      </c>
      <c r="EG2" t="e">
        <f>AND(#REF!,"AAAAAD6c74g=")</f>
        <v>#REF!</v>
      </c>
      <c r="EH2" t="e">
        <f>AND(#REF!,"AAAAAD6c74k=")</f>
        <v>#REF!</v>
      </c>
      <c r="EI2" t="e">
        <f>AND(#REF!,"AAAAAD6c74o=")</f>
        <v>#REF!</v>
      </c>
      <c r="EJ2" t="e">
        <f>AND(#REF!,"AAAAAD6c74s=")</f>
        <v>#REF!</v>
      </c>
      <c r="EK2" t="e">
        <f>AND(#REF!,"AAAAAD6c74w=")</f>
        <v>#REF!</v>
      </c>
      <c r="EL2" t="e">
        <f>AND(#REF!,"AAAAAD6c740=")</f>
        <v>#REF!</v>
      </c>
      <c r="EM2" t="e">
        <f>AND(#REF!,"AAAAAD6c744=")</f>
        <v>#REF!</v>
      </c>
      <c r="EN2" t="e">
        <f>AND(#REF!,"AAAAAD6c748=")</f>
        <v>#REF!</v>
      </c>
      <c r="EO2" t="e">
        <f>IF(#REF!,"AAAAAD6c75A=",0)</f>
        <v>#REF!</v>
      </c>
      <c r="EP2" t="e">
        <f>AND(#REF!,"AAAAAD6c75E=")</f>
        <v>#REF!</v>
      </c>
      <c r="EQ2" t="e">
        <f>AND(#REF!,"AAAAAD6c75I=")</f>
        <v>#REF!</v>
      </c>
      <c r="ER2" t="e">
        <f>AND(#REF!,"AAAAAD6c75M=")</f>
        <v>#REF!</v>
      </c>
      <c r="ES2" t="e">
        <f>AND(#REF!,"AAAAAD6c75Q=")</f>
        <v>#REF!</v>
      </c>
      <c r="ET2" t="e">
        <f>AND(#REF!,"AAAAAD6c75U=")</f>
        <v>#REF!</v>
      </c>
      <c r="EU2" t="e">
        <f>AND(#REF!,"AAAAAD6c75Y=")</f>
        <v>#REF!</v>
      </c>
      <c r="EV2" t="e">
        <f>AND(#REF!,"AAAAAD6c75c=")</f>
        <v>#REF!</v>
      </c>
      <c r="EW2" t="e">
        <f>AND(#REF!,"AAAAAD6c75g=")</f>
        <v>#REF!</v>
      </c>
      <c r="EX2" t="e">
        <f>AND(#REF!,"AAAAAD6c75k=")</f>
        <v>#REF!</v>
      </c>
      <c r="EY2" t="e">
        <f>AND(#REF!,"AAAAAD6c75o=")</f>
        <v>#REF!</v>
      </c>
      <c r="EZ2" t="e">
        <f>AND(#REF!,"AAAAAD6c75s=")</f>
        <v>#REF!</v>
      </c>
      <c r="FA2" t="e">
        <f>AND(#REF!,"AAAAAD6c75w=")</f>
        <v>#REF!</v>
      </c>
      <c r="FB2" t="e">
        <f>AND(#REF!,"AAAAAD6c750=")</f>
        <v>#REF!</v>
      </c>
      <c r="FC2" t="e">
        <f>AND(#REF!,"AAAAAD6c754=")</f>
        <v>#REF!</v>
      </c>
      <c r="FD2" t="e">
        <f>AND(#REF!,"AAAAAD6c758=")</f>
        <v>#REF!</v>
      </c>
      <c r="FE2" t="e">
        <f>AND(#REF!,"AAAAAD6c76A=")</f>
        <v>#REF!</v>
      </c>
      <c r="FF2" t="e">
        <f>AND(#REF!,"AAAAAD6c76E=")</f>
        <v>#REF!</v>
      </c>
      <c r="FG2" t="e">
        <f>AND(#REF!,"AAAAAD6c76I=")</f>
        <v>#REF!</v>
      </c>
      <c r="FH2" t="e">
        <f>AND(#REF!,"AAAAAD6c76M=")</f>
        <v>#REF!</v>
      </c>
      <c r="FI2" t="e">
        <f>IF(#REF!,"AAAAAD6c76Q=",0)</f>
        <v>#REF!</v>
      </c>
      <c r="FJ2" t="e">
        <f>AND(#REF!,"AAAAAD6c76U=")</f>
        <v>#REF!</v>
      </c>
      <c r="FK2" t="e">
        <f>AND(#REF!,"AAAAAD6c76Y=")</f>
        <v>#REF!</v>
      </c>
      <c r="FL2" t="e">
        <f>AND(#REF!,"AAAAAD6c76c=")</f>
        <v>#REF!</v>
      </c>
      <c r="FM2" t="e">
        <f>AND(#REF!,"AAAAAD6c76g=")</f>
        <v>#REF!</v>
      </c>
      <c r="FN2" t="e">
        <f>AND(#REF!,"AAAAAD6c76k=")</f>
        <v>#REF!</v>
      </c>
      <c r="FO2" t="e">
        <f>AND(#REF!,"AAAAAD6c76o=")</f>
        <v>#REF!</v>
      </c>
      <c r="FP2" t="e">
        <f>AND(#REF!,"AAAAAD6c76s=")</f>
        <v>#REF!</v>
      </c>
      <c r="FQ2" t="e">
        <f>AND(#REF!,"AAAAAD6c76w=")</f>
        <v>#REF!</v>
      </c>
      <c r="FR2" t="e">
        <f>AND(#REF!,"AAAAAD6c760=")</f>
        <v>#REF!</v>
      </c>
      <c r="FS2" t="e">
        <f>AND(#REF!,"AAAAAD6c764=")</f>
        <v>#REF!</v>
      </c>
      <c r="FT2" t="e">
        <f>AND(#REF!,"AAAAAD6c768=")</f>
        <v>#REF!</v>
      </c>
      <c r="FU2" t="e">
        <f>AND(#REF!,"AAAAAD6c77A=")</f>
        <v>#REF!</v>
      </c>
      <c r="FV2" t="e">
        <f>AND(#REF!,"AAAAAD6c77E=")</f>
        <v>#REF!</v>
      </c>
      <c r="FW2" t="e">
        <f>AND(#REF!,"AAAAAD6c77I=")</f>
        <v>#REF!</v>
      </c>
      <c r="FX2" t="e">
        <f>AND(#REF!,"AAAAAD6c77M=")</f>
        <v>#REF!</v>
      </c>
      <c r="FY2" t="e">
        <f>AND(#REF!,"AAAAAD6c77Q=")</f>
        <v>#REF!</v>
      </c>
      <c r="FZ2" t="e">
        <f>AND(#REF!,"AAAAAD6c77U=")</f>
        <v>#REF!</v>
      </c>
      <c r="GA2" t="e">
        <f>AND(#REF!,"AAAAAD6c77Y=")</f>
        <v>#REF!</v>
      </c>
      <c r="GB2" t="e">
        <f>AND(#REF!,"AAAAAD6c77c=")</f>
        <v>#REF!</v>
      </c>
      <c r="GC2" t="e">
        <f>IF(#REF!,"AAAAAD6c77g=",0)</f>
        <v>#REF!</v>
      </c>
      <c r="GD2" t="e">
        <f>AND(#REF!,"AAAAAD6c77k=")</f>
        <v>#REF!</v>
      </c>
      <c r="GE2" t="e">
        <f>AND(#REF!,"AAAAAD6c77o=")</f>
        <v>#REF!</v>
      </c>
      <c r="GF2" t="e">
        <f>AND(#REF!,"AAAAAD6c77s=")</f>
        <v>#REF!</v>
      </c>
      <c r="GG2" t="e">
        <f>AND(#REF!,"AAAAAD6c77w=")</f>
        <v>#REF!</v>
      </c>
      <c r="GH2" t="e">
        <f>AND(#REF!,"AAAAAD6c770=")</f>
        <v>#REF!</v>
      </c>
      <c r="GI2" t="e">
        <f>AND(#REF!,"AAAAAD6c774=")</f>
        <v>#REF!</v>
      </c>
      <c r="GJ2" t="e">
        <f>AND(#REF!,"AAAAAD6c778=")</f>
        <v>#REF!</v>
      </c>
      <c r="GK2" t="e">
        <f>AND(#REF!,"AAAAAD6c78A=")</f>
        <v>#REF!</v>
      </c>
      <c r="GL2" t="e">
        <f>AND(#REF!,"AAAAAD6c78E=")</f>
        <v>#REF!</v>
      </c>
      <c r="GM2" t="e">
        <f>AND(#REF!,"AAAAAD6c78I=")</f>
        <v>#REF!</v>
      </c>
      <c r="GN2" t="e">
        <f>AND(#REF!,"AAAAAD6c78M=")</f>
        <v>#REF!</v>
      </c>
      <c r="GO2" t="e">
        <f>AND(#REF!,"AAAAAD6c78Q=")</f>
        <v>#REF!</v>
      </c>
      <c r="GP2" t="e">
        <f>AND(#REF!,"AAAAAD6c78U=")</f>
        <v>#REF!</v>
      </c>
      <c r="GQ2" t="e">
        <f>AND(#REF!,"AAAAAD6c78Y=")</f>
        <v>#REF!</v>
      </c>
      <c r="GR2" t="e">
        <f>AND(#REF!,"AAAAAD6c78c=")</f>
        <v>#REF!</v>
      </c>
      <c r="GS2" t="e">
        <f>AND(#REF!,"AAAAAD6c78g=")</f>
        <v>#REF!</v>
      </c>
      <c r="GT2" t="e">
        <f>AND(#REF!,"AAAAAD6c78k=")</f>
        <v>#REF!</v>
      </c>
      <c r="GU2" t="e">
        <f>AND(#REF!,"AAAAAD6c78o=")</f>
        <v>#REF!</v>
      </c>
      <c r="GV2" t="e">
        <f>AND(#REF!,"AAAAAD6c78s=")</f>
        <v>#REF!</v>
      </c>
      <c r="GW2" t="e">
        <f>IF(#REF!,"AAAAAD6c78w=",0)</f>
        <v>#REF!</v>
      </c>
      <c r="GX2" t="e">
        <f>AND(#REF!,"AAAAAD6c780=")</f>
        <v>#REF!</v>
      </c>
      <c r="GY2" t="e">
        <f>AND(#REF!,"AAAAAD6c784=")</f>
        <v>#REF!</v>
      </c>
      <c r="GZ2" t="e">
        <f>AND(#REF!,"AAAAAD6c788=")</f>
        <v>#REF!</v>
      </c>
      <c r="HA2" t="e">
        <f>AND(#REF!,"AAAAAD6c79A=")</f>
        <v>#REF!</v>
      </c>
      <c r="HB2" t="e">
        <f>AND(#REF!,"AAAAAD6c79E=")</f>
        <v>#REF!</v>
      </c>
      <c r="HC2" t="e">
        <f>AND(#REF!,"AAAAAD6c79I=")</f>
        <v>#REF!</v>
      </c>
      <c r="HD2" t="e">
        <f>AND(#REF!,"AAAAAD6c79M=")</f>
        <v>#REF!</v>
      </c>
      <c r="HE2" t="e">
        <f>AND(#REF!,"AAAAAD6c79Q=")</f>
        <v>#REF!</v>
      </c>
      <c r="HF2" t="e">
        <f>AND(#REF!,"AAAAAD6c79U=")</f>
        <v>#REF!</v>
      </c>
      <c r="HG2" t="e">
        <f>AND(#REF!,"AAAAAD6c79Y=")</f>
        <v>#REF!</v>
      </c>
      <c r="HH2" t="e">
        <f>AND(#REF!,"AAAAAD6c79c=")</f>
        <v>#REF!</v>
      </c>
      <c r="HI2" t="e">
        <f>AND(#REF!,"AAAAAD6c79g=")</f>
        <v>#REF!</v>
      </c>
      <c r="HJ2" t="e">
        <f>AND(#REF!,"AAAAAD6c79k=")</f>
        <v>#REF!</v>
      </c>
      <c r="HK2" t="e">
        <f>AND(#REF!,"AAAAAD6c79o=")</f>
        <v>#REF!</v>
      </c>
      <c r="HL2" t="e">
        <f>AND(#REF!,"AAAAAD6c79s=")</f>
        <v>#REF!</v>
      </c>
      <c r="HM2" t="e">
        <f>AND(#REF!,"AAAAAD6c79w=")</f>
        <v>#REF!</v>
      </c>
      <c r="HN2" t="e">
        <f>AND(#REF!,"AAAAAD6c790=")</f>
        <v>#REF!</v>
      </c>
      <c r="HO2" t="e">
        <f>AND(#REF!,"AAAAAD6c794=")</f>
        <v>#REF!</v>
      </c>
      <c r="HP2" t="e">
        <f>AND(#REF!,"AAAAAD6c798=")</f>
        <v>#REF!</v>
      </c>
      <c r="HQ2" t="e">
        <f>IF(#REF!,"AAAAAD6c7+A=",0)</f>
        <v>#REF!</v>
      </c>
      <c r="HR2" t="e">
        <f>AND(#REF!,"AAAAAD6c7+E=")</f>
        <v>#REF!</v>
      </c>
      <c r="HS2" t="e">
        <f>AND(#REF!,"AAAAAD6c7+I=")</f>
        <v>#REF!</v>
      </c>
      <c r="HT2" t="e">
        <f>AND(#REF!,"AAAAAD6c7+M=")</f>
        <v>#REF!</v>
      </c>
      <c r="HU2" t="e">
        <f>AND(#REF!,"AAAAAD6c7+Q=")</f>
        <v>#REF!</v>
      </c>
      <c r="HV2" t="e">
        <f>AND(#REF!,"AAAAAD6c7+U=")</f>
        <v>#REF!</v>
      </c>
      <c r="HW2" t="e">
        <f>AND(#REF!,"AAAAAD6c7+Y=")</f>
        <v>#REF!</v>
      </c>
      <c r="HX2" t="e">
        <f>AND(#REF!,"AAAAAD6c7+c=")</f>
        <v>#REF!</v>
      </c>
      <c r="HY2" t="e">
        <f>AND(#REF!,"AAAAAD6c7+g=")</f>
        <v>#REF!</v>
      </c>
      <c r="HZ2" t="e">
        <f>AND(#REF!,"AAAAAD6c7+k=")</f>
        <v>#REF!</v>
      </c>
      <c r="IA2" t="e">
        <f>AND(#REF!,"AAAAAD6c7+o=")</f>
        <v>#REF!</v>
      </c>
      <c r="IB2" t="e">
        <f>AND(#REF!,"AAAAAD6c7+s=")</f>
        <v>#REF!</v>
      </c>
      <c r="IC2" t="e">
        <f>AND(#REF!,"AAAAAD6c7+w=")</f>
        <v>#REF!</v>
      </c>
      <c r="ID2" t="e">
        <f>AND(#REF!,"AAAAAD6c7+0=")</f>
        <v>#REF!</v>
      </c>
      <c r="IE2" t="e">
        <f>AND(#REF!,"AAAAAD6c7+4=")</f>
        <v>#REF!</v>
      </c>
      <c r="IF2" t="e">
        <f>AND(#REF!,"AAAAAD6c7+8=")</f>
        <v>#REF!</v>
      </c>
      <c r="IG2" t="e">
        <f>AND(#REF!,"AAAAAD6c7/A=")</f>
        <v>#REF!</v>
      </c>
      <c r="IH2" t="e">
        <f>AND(#REF!,"AAAAAD6c7/E=")</f>
        <v>#REF!</v>
      </c>
      <c r="II2" t="e">
        <f>AND(#REF!,"AAAAAD6c7/I=")</f>
        <v>#REF!</v>
      </c>
      <c r="IJ2" t="e">
        <f>AND(#REF!,"AAAAAD6c7/M=")</f>
        <v>#REF!</v>
      </c>
      <c r="IK2" t="e">
        <f>IF(#REF!,"AAAAAD6c7/Q=",0)</f>
        <v>#REF!</v>
      </c>
      <c r="IL2" t="e">
        <f>AND(#REF!,"AAAAAD6c7/U=")</f>
        <v>#REF!</v>
      </c>
      <c r="IM2" t="e">
        <f>AND(#REF!,"AAAAAD6c7/Y=")</f>
        <v>#REF!</v>
      </c>
      <c r="IN2" t="e">
        <f>AND(#REF!,"AAAAAD6c7/c=")</f>
        <v>#REF!</v>
      </c>
      <c r="IO2" t="e">
        <f>AND(#REF!,"AAAAAD6c7/g=")</f>
        <v>#REF!</v>
      </c>
      <c r="IP2" t="e">
        <f>AND(#REF!,"AAAAAD6c7/k=")</f>
        <v>#REF!</v>
      </c>
      <c r="IQ2" t="e">
        <f>AND(#REF!,"AAAAAD6c7/o=")</f>
        <v>#REF!</v>
      </c>
      <c r="IR2" t="e">
        <f>AND(#REF!,"AAAAAD6c7/s=")</f>
        <v>#REF!</v>
      </c>
      <c r="IS2" t="e">
        <f>AND(#REF!,"AAAAAD6c7/w=")</f>
        <v>#REF!</v>
      </c>
      <c r="IT2" t="e">
        <f>AND(#REF!,"AAAAAD6c7/0=")</f>
        <v>#REF!</v>
      </c>
      <c r="IU2" t="e">
        <f>AND(#REF!,"AAAAAD6c7/4=")</f>
        <v>#REF!</v>
      </c>
      <c r="IV2" t="e">
        <f>AND(#REF!,"AAAAAD6c7/8=")</f>
        <v>#REF!</v>
      </c>
    </row>
    <row r="3" spans="1:256" x14ac:dyDescent="0.15">
      <c r="A3" t="e">
        <f>AND(#REF!,"AAAAAH+G/wA=")</f>
        <v>#REF!</v>
      </c>
      <c r="B3" t="e">
        <f>AND(#REF!,"AAAAAH+G/wE=")</f>
        <v>#REF!</v>
      </c>
      <c r="C3" t="e">
        <f>AND(#REF!,"AAAAAH+G/wI=")</f>
        <v>#REF!</v>
      </c>
      <c r="D3" t="e">
        <f>AND(#REF!,"AAAAAH+G/wM=")</f>
        <v>#REF!</v>
      </c>
      <c r="E3" t="e">
        <f>AND(#REF!,"AAAAAH+G/wQ=")</f>
        <v>#REF!</v>
      </c>
      <c r="F3" t="e">
        <f>AND(#REF!,"AAAAAH+G/wU=")</f>
        <v>#REF!</v>
      </c>
      <c r="G3" t="e">
        <f>AND(#REF!,"AAAAAH+G/wY=")</f>
        <v>#REF!</v>
      </c>
      <c r="H3" t="e">
        <f>AND(#REF!,"AAAAAH+G/wc=")</f>
        <v>#REF!</v>
      </c>
      <c r="I3" t="e">
        <f>IF(#REF!,"AAAAAH+G/wg=",0)</f>
        <v>#REF!</v>
      </c>
      <c r="J3" t="e">
        <f>AND(#REF!,"AAAAAH+G/wk=")</f>
        <v>#REF!</v>
      </c>
      <c r="K3" t="e">
        <f>AND(#REF!,"AAAAAH+G/wo=")</f>
        <v>#REF!</v>
      </c>
      <c r="L3" t="e">
        <f>AND(#REF!,"AAAAAH+G/ws=")</f>
        <v>#REF!</v>
      </c>
      <c r="M3" t="e">
        <f>AND(#REF!,"AAAAAH+G/ww=")</f>
        <v>#REF!</v>
      </c>
      <c r="N3" t="e">
        <f>AND(#REF!,"AAAAAH+G/w0=")</f>
        <v>#REF!</v>
      </c>
      <c r="O3" t="e">
        <f>AND(#REF!,"AAAAAH+G/w4=")</f>
        <v>#REF!</v>
      </c>
      <c r="P3" t="e">
        <f>AND(#REF!,"AAAAAH+G/w8=")</f>
        <v>#REF!</v>
      </c>
      <c r="Q3" t="e">
        <f>AND(#REF!,"AAAAAH+G/xA=")</f>
        <v>#REF!</v>
      </c>
      <c r="R3" t="e">
        <f>AND(#REF!,"AAAAAH+G/xE=")</f>
        <v>#REF!</v>
      </c>
      <c r="S3" t="e">
        <f>AND(#REF!,"AAAAAH+G/xI=")</f>
        <v>#REF!</v>
      </c>
      <c r="T3" t="e">
        <f>AND(#REF!,"AAAAAH+G/xM=")</f>
        <v>#REF!</v>
      </c>
      <c r="U3" t="e">
        <f>AND(#REF!,"AAAAAH+G/xQ=")</f>
        <v>#REF!</v>
      </c>
      <c r="V3" t="e">
        <f>AND(#REF!,"AAAAAH+G/xU=")</f>
        <v>#REF!</v>
      </c>
      <c r="W3" t="e">
        <f>AND(#REF!,"AAAAAH+G/xY=")</f>
        <v>#REF!</v>
      </c>
      <c r="X3" t="e">
        <f>AND(#REF!,"AAAAAH+G/xc=")</f>
        <v>#REF!</v>
      </c>
      <c r="Y3" t="e">
        <f>AND(#REF!,"AAAAAH+G/xg=")</f>
        <v>#REF!</v>
      </c>
      <c r="Z3" t="e">
        <f>AND(#REF!,"AAAAAH+G/xk=")</f>
        <v>#REF!</v>
      </c>
      <c r="AA3" t="e">
        <f>AND(#REF!,"AAAAAH+G/xo=")</f>
        <v>#REF!</v>
      </c>
      <c r="AB3" t="e">
        <f>AND(#REF!,"AAAAAH+G/xs=")</f>
        <v>#REF!</v>
      </c>
      <c r="AC3" t="e">
        <f>IF(#REF!,"AAAAAH+G/xw=",0)</f>
        <v>#REF!</v>
      </c>
      <c r="AD3" t="e">
        <f>AND(#REF!,"AAAAAH+G/x0=")</f>
        <v>#REF!</v>
      </c>
      <c r="AE3" t="e">
        <f>AND(#REF!,"AAAAAH+G/x4=")</f>
        <v>#REF!</v>
      </c>
      <c r="AF3" t="e">
        <f>AND(#REF!,"AAAAAH+G/x8=")</f>
        <v>#REF!</v>
      </c>
      <c r="AG3" t="e">
        <f>AND(#REF!,"AAAAAH+G/yA=")</f>
        <v>#REF!</v>
      </c>
      <c r="AH3" t="e">
        <f>AND(#REF!,"AAAAAH+G/yE=")</f>
        <v>#REF!</v>
      </c>
      <c r="AI3" t="e">
        <f>AND(#REF!,"AAAAAH+G/yI=")</f>
        <v>#REF!</v>
      </c>
      <c r="AJ3" t="e">
        <f>AND(#REF!,"AAAAAH+G/yM=")</f>
        <v>#REF!</v>
      </c>
      <c r="AK3" t="e">
        <f>AND(#REF!,"AAAAAH+G/yQ=")</f>
        <v>#REF!</v>
      </c>
      <c r="AL3" t="e">
        <f>AND(#REF!,"AAAAAH+G/yU=")</f>
        <v>#REF!</v>
      </c>
      <c r="AM3" t="e">
        <f>AND(#REF!,"AAAAAH+G/yY=")</f>
        <v>#REF!</v>
      </c>
      <c r="AN3" t="e">
        <f>AND(#REF!,"AAAAAH+G/yc=")</f>
        <v>#REF!</v>
      </c>
      <c r="AO3" t="e">
        <f>AND(#REF!,"AAAAAH+G/yg=")</f>
        <v>#REF!</v>
      </c>
      <c r="AP3" t="e">
        <f>AND(#REF!,"AAAAAH+G/yk=")</f>
        <v>#REF!</v>
      </c>
      <c r="AQ3" t="e">
        <f>AND(#REF!,"AAAAAH+G/yo=")</f>
        <v>#REF!</v>
      </c>
      <c r="AR3" t="e">
        <f>AND(#REF!,"AAAAAH+G/ys=")</f>
        <v>#REF!</v>
      </c>
      <c r="AS3" t="e">
        <f>AND(#REF!,"AAAAAH+G/yw=")</f>
        <v>#REF!</v>
      </c>
      <c r="AT3" t="e">
        <f>AND(#REF!,"AAAAAH+G/y0=")</f>
        <v>#REF!</v>
      </c>
      <c r="AU3" t="e">
        <f>AND(#REF!,"AAAAAH+G/y4=")</f>
        <v>#REF!</v>
      </c>
      <c r="AV3" t="e">
        <f>AND(#REF!,"AAAAAH+G/y8=")</f>
        <v>#REF!</v>
      </c>
      <c r="AW3" t="e">
        <f>IF(#REF!,"AAAAAH+G/zA=",0)</f>
        <v>#REF!</v>
      </c>
      <c r="AX3" t="e">
        <f>AND(#REF!,"AAAAAH+G/zE=")</f>
        <v>#REF!</v>
      </c>
      <c r="AY3" t="e">
        <f>AND(#REF!,"AAAAAH+G/zI=")</f>
        <v>#REF!</v>
      </c>
      <c r="AZ3" t="e">
        <f>AND(#REF!,"AAAAAH+G/zM=")</f>
        <v>#REF!</v>
      </c>
      <c r="BA3" t="e">
        <f>AND(#REF!,"AAAAAH+G/zQ=")</f>
        <v>#REF!</v>
      </c>
      <c r="BB3" t="e">
        <f>AND(#REF!,"AAAAAH+G/zU=")</f>
        <v>#REF!</v>
      </c>
      <c r="BC3" t="e">
        <f>AND(#REF!,"AAAAAH+G/zY=")</f>
        <v>#REF!</v>
      </c>
      <c r="BD3" t="e">
        <f>AND(#REF!,"AAAAAH+G/zc=")</f>
        <v>#REF!</v>
      </c>
      <c r="BE3" t="e">
        <f>AND(#REF!,"AAAAAH+G/zg=")</f>
        <v>#REF!</v>
      </c>
      <c r="BF3" t="e">
        <f>AND(#REF!,"AAAAAH+G/zk=")</f>
        <v>#REF!</v>
      </c>
      <c r="BG3" t="e">
        <f>AND(#REF!,"AAAAAH+G/zo=")</f>
        <v>#REF!</v>
      </c>
      <c r="BH3" t="e">
        <f>AND(#REF!,"AAAAAH+G/zs=")</f>
        <v>#REF!</v>
      </c>
      <c r="BI3" t="e">
        <f>AND(#REF!,"AAAAAH+G/zw=")</f>
        <v>#REF!</v>
      </c>
      <c r="BJ3" t="e">
        <f>AND(#REF!,"AAAAAH+G/z0=")</f>
        <v>#REF!</v>
      </c>
      <c r="BK3" t="e">
        <f>AND(#REF!,"AAAAAH+G/z4=")</f>
        <v>#REF!</v>
      </c>
      <c r="BL3" t="e">
        <f>AND(#REF!,"AAAAAH+G/z8=")</f>
        <v>#REF!</v>
      </c>
      <c r="BM3" t="e">
        <f>AND(#REF!,"AAAAAH+G/0A=")</f>
        <v>#REF!</v>
      </c>
      <c r="BN3" t="e">
        <f>AND(#REF!,"AAAAAH+G/0E=")</f>
        <v>#REF!</v>
      </c>
      <c r="BO3" t="e">
        <f>AND(#REF!,"AAAAAH+G/0I=")</f>
        <v>#REF!</v>
      </c>
      <c r="BP3" t="e">
        <f>AND(#REF!,"AAAAAH+G/0M=")</f>
        <v>#REF!</v>
      </c>
      <c r="BQ3" t="e">
        <f>IF(#REF!,"AAAAAH+G/0Q=",0)</f>
        <v>#REF!</v>
      </c>
      <c r="BR3" t="e">
        <f>AND(#REF!,"AAAAAH+G/0U=")</f>
        <v>#REF!</v>
      </c>
      <c r="BS3" t="e">
        <f>AND(#REF!,"AAAAAH+G/0Y=")</f>
        <v>#REF!</v>
      </c>
      <c r="BT3" t="e">
        <f>AND(#REF!,"AAAAAH+G/0c=")</f>
        <v>#REF!</v>
      </c>
      <c r="BU3" t="e">
        <f>AND(#REF!,"AAAAAH+G/0g=")</f>
        <v>#REF!</v>
      </c>
      <c r="BV3" t="e">
        <f>AND(#REF!,"AAAAAH+G/0k=")</f>
        <v>#REF!</v>
      </c>
      <c r="BW3" t="e">
        <f>AND(#REF!,"AAAAAH+G/0o=")</f>
        <v>#REF!</v>
      </c>
      <c r="BX3" t="e">
        <f>AND(#REF!,"AAAAAH+G/0s=")</f>
        <v>#REF!</v>
      </c>
      <c r="BY3" t="e">
        <f>AND(#REF!,"AAAAAH+G/0w=")</f>
        <v>#REF!</v>
      </c>
      <c r="BZ3" t="e">
        <f>AND(#REF!,"AAAAAH+G/00=")</f>
        <v>#REF!</v>
      </c>
      <c r="CA3" t="e">
        <f>AND(#REF!,"AAAAAH+G/04=")</f>
        <v>#REF!</v>
      </c>
      <c r="CB3" t="e">
        <f>AND(#REF!,"AAAAAH+G/08=")</f>
        <v>#REF!</v>
      </c>
      <c r="CC3" t="e">
        <f>AND(#REF!,"AAAAAH+G/1A=")</f>
        <v>#REF!</v>
      </c>
      <c r="CD3" t="e">
        <f>AND(#REF!,"AAAAAH+G/1E=")</f>
        <v>#REF!</v>
      </c>
      <c r="CE3" t="e">
        <f>AND(#REF!,"AAAAAH+G/1I=")</f>
        <v>#REF!</v>
      </c>
      <c r="CF3" t="e">
        <f>AND(#REF!,"AAAAAH+G/1M=")</f>
        <v>#REF!</v>
      </c>
      <c r="CG3" t="e">
        <f>AND(#REF!,"AAAAAH+G/1Q=")</f>
        <v>#REF!</v>
      </c>
      <c r="CH3" t="e">
        <f>AND(#REF!,"AAAAAH+G/1U=")</f>
        <v>#REF!</v>
      </c>
      <c r="CI3" t="e">
        <f>AND(#REF!,"AAAAAH+G/1Y=")</f>
        <v>#REF!</v>
      </c>
      <c r="CJ3" t="e">
        <f>AND(#REF!,"AAAAAH+G/1c=")</f>
        <v>#REF!</v>
      </c>
      <c r="CK3" t="e">
        <f>IF(#REF!,"AAAAAH+G/1g=",0)</f>
        <v>#REF!</v>
      </c>
      <c r="CL3" t="e">
        <f>AND(#REF!,"AAAAAH+G/1k=")</f>
        <v>#REF!</v>
      </c>
      <c r="CM3" t="e">
        <f>AND(#REF!,"AAAAAH+G/1o=")</f>
        <v>#REF!</v>
      </c>
      <c r="CN3" t="e">
        <f>AND(#REF!,"AAAAAH+G/1s=")</f>
        <v>#REF!</v>
      </c>
      <c r="CO3" t="e">
        <f>AND(#REF!,"AAAAAH+G/1w=")</f>
        <v>#REF!</v>
      </c>
      <c r="CP3" t="e">
        <f>AND(#REF!,"AAAAAH+G/10=")</f>
        <v>#REF!</v>
      </c>
      <c r="CQ3" t="e">
        <f>AND(#REF!,"AAAAAH+G/14=")</f>
        <v>#REF!</v>
      </c>
      <c r="CR3" t="e">
        <f>AND(#REF!,"AAAAAH+G/18=")</f>
        <v>#REF!</v>
      </c>
      <c r="CS3" t="e">
        <f>AND(#REF!,"AAAAAH+G/2A=")</f>
        <v>#REF!</v>
      </c>
      <c r="CT3" t="e">
        <f>AND(#REF!,"AAAAAH+G/2E=")</f>
        <v>#REF!</v>
      </c>
      <c r="CU3" t="e">
        <f>AND(#REF!,"AAAAAH+G/2I=")</f>
        <v>#REF!</v>
      </c>
      <c r="CV3" t="e">
        <f>AND(#REF!,"AAAAAH+G/2M=")</f>
        <v>#REF!</v>
      </c>
      <c r="CW3" t="e">
        <f>AND(#REF!,"AAAAAH+G/2Q=")</f>
        <v>#REF!</v>
      </c>
      <c r="CX3" t="e">
        <f>AND(#REF!,"AAAAAH+G/2U=")</f>
        <v>#REF!</v>
      </c>
      <c r="CY3" t="e">
        <f>AND(#REF!,"AAAAAH+G/2Y=")</f>
        <v>#REF!</v>
      </c>
      <c r="CZ3" t="e">
        <f>AND(#REF!,"AAAAAH+G/2c=")</f>
        <v>#REF!</v>
      </c>
      <c r="DA3" t="e">
        <f>AND(#REF!,"AAAAAH+G/2g=")</f>
        <v>#REF!</v>
      </c>
      <c r="DB3" t="e">
        <f>AND(#REF!,"AAAAAH+G/2k=")</f>
        <v>#REF!</v>
      </c>
      <c r="DC3" t="e">
        <f>AND(#REF!,"AAAAAH+G/2o=")</f>
        <v>#REF!</v>
      </c>
      <c r="DD3" t="e">
        <f>AND(#REF!,"AAAAAH+G/2s=")</f>
        <v>#REF!</v>
      </c>
      <c r="DE3" t="e">
        <f>IF(#REF!,"AAAAAH+G/2w=",0)</f>
        <v>#REF!</v>
      </c>
      <c r="DF3" t="e">
        <f>AND(#REF!,"AAAAAH+G/20=")</f>
        <v>#REF!</v>
      </c>
      <c r="DG3" t="e">
        <f>AND(#REF!,"AAAAAH+G/24=")</f>
        <v>#REF!</v>
      </c>
      <c r="DH3" t="e">
        <f>AND(#REF!,"AAAAAH+G/28=")</f>
        <v>#REF!</v>
      </c>
      <c r="DI3" t="e">
        <f>AND(#REF!,"AAAAAH+G/3A=")</f>
        <v>#REF!</v>
      </c>
      <c r="DJ3" t="e">
        <f>AND(#REF!,"AAAAAH+G/3E=")</f>
        <v>#REF!</v>
      </c>
      <c r="DK3" t="e">
        <f>AND(#REF!,"AAAAAH+G/3I=")</f>
        <v>#REF!</v>
      </c>
      <c r="DL3" t="e">
        <f>AND(#REF!,"AAAAAH+G/3M=")</f>
        <v>#REF!</v>
      </c>
      <c r="DM3" t="e">
        <f>AND(#REF!,"AAAAAH+G/3Q=")</f>
        <v>#REF!</v>
      </c>
      <c r="DN3" t="e">
        <f>AND(#REF!,"AAAAAH+G/3U=")</f>
        <v>#REF!</v>
      </c>
      <c r="DO3" t="e">
        <f>AND(#REF!,"AAAAAH+G/3Y=")</f>
        <v>#REF!</v>
      </c>
      <c r="DP3" t="e">
        <f>AND(#REF!,"AAAAAH+G/3c=")</f>
        <v>#REF!</v>
      </c>
      <c r="DQ3" t="e">
        <f>AND(#REF!,"AAAAAH+G/3g=")</f>
        <v>#REF!</v>
      </c>
      <c r="DR3" t="e">
        <f>AND(#REF!,"AAAAAH+G/3k=")</f>
        <v>#REF!</v>
      </c>
      <c r="DS3" t="e">
        <f>AND(#REF!,"AAAAAH+G/3o=")</f>
        <v>#REF!</v>
      </c>
      <c r="DT3" t="e">
        <f>AND(#REF!,"AAAAAH+G/3s=")</f>
        <v>#REF!</v>
      </c>
      <c r="DU3" t="e">
        <f>AND(#REF!,"AAAAAH+G/3w=")</f>
        <v>#REF!</v>
      </c>
      <c r="DV3" t="e">
        <f>AND(#REF!,"AAAAAH+G/30=")</f>
        <v>#REF!</v>
      </c>
      <c r="DW3" t="e">
        <f>AND(#REF!,"AAAAAH+G/34=")</f>
        <v>#REF!</v>
      </c>
      <c r="DX3" t="e">
        <f>AND(#REF!,"AAAAAH+G/38=")</f>
        <v>#REF!</v>
      </c>
      <c r="DY3" t="e">
        <f>IF(#REF!,"AAAAAH+G/4A=",0)</f>
        <v>#REF!</v>
      </c>
      <c r="DZ3" t="e">
        <f>AND(#REF!,"AAAAAH+G/4E=")</f>
        <v>#REF!</v>
      </c>
      <c r="EA3" t="e">
        <f>AND(#REF!,"AAAAAH+G/4I=")</f>
        <v>#REF!</v>
      </c>
      <c r="EB3" t="e">
        <f>AND(#REF!,"AAAAAH+G/4M=")</f>
        <v>#REF!</v>
      </c>
      <c r="EC3" t="e">
        <f>AND(#REF!,"AAAAAH+G/4Q=")</f>
        <v>#REF!</v>
      </c>
      <c r="ED3" t="e">
        <f>AND(#REF!,"AAAAAH+G/4U=")</f>
        <v>#REF!</v>
      </c>
      <c r="EE3" t="e">
        <f>AND(#REF!,"AAAAAH+G/4Y=")</f>
        <v>#REF!</v>
      </c>
      <c r="EF3" t="e">
        <f>AND(#REF!,"AAAAAH+G/4c=")</f>
        <v>#REF!</v>
      </c>
      <c r="EG3" t="e">
        <f>AND(#REF!,"AAAAAH+G/4g=")</f>
        <v>#REF!</v>
      </c>
      <c r="EH3" t="e">
        <f>AND(#REF!,"AAAAAH+G/4k=")</f>
        <v>#REF!</v>
      </c>
      <c r="EI3" t="e">
        <f>AND(#REF!,"AAAAAH+G/4o=")</f>
        <v>#REF!</v>
      </c>
      <c r="EJ3" t="e">
        <f>AND(#REF!,"AAAAAH+G/4s=")</f>
        <v>#REF!</v>
      </c>
      <c r="EK3" t="e">
        <f>AND(#REF!,"AAAAAH+G/4w=")</f>
        <v>#REF!</v>
      </c>
      <c r="EL3" t="e">
        <f>AND(#REF!,"AAAAAH+G/40=")</f>
        <v>#REF!</v>
      </c>
      <c r="EM3" t="e">
        <f>AND(#REF!,"AAAAAH+G/44=")</f>
        <v>#REF!</v>
      </c>
      <c r="EN3" t="e">
        <f>AND(#REF!,"AAAAAH+G/48=")</f>
        <v>#REF!</v>
      </c>
      <c r="EO3" t="e">
        <f>AND(#REF!,"AAAAAH+G/5A=")</f>
        <v>#REF!</v>
      </c>
      <c r="EP3" t="e">
        <f>AND(#REF!,"AAAAAH+G/5E=")</f>
        <v>#REF!</v>
      </c>
      <c r="EQ3" t="e">
        <f>AND(#REF!,"AAAAAH+G/5I=")</f>
        <v>#REF!</v>
      </c>
      <c r="ER3" t="e">
        <f>AND(#REF!,"AAAAAH+G/5M=")</f>
        <v>#REF!</v>
      </c>
      <c r="ES3" t="e">
        <f>IF(#REF!,"AAAAAH+G/5Q=",0)</f>
        <v>#REF!</v>
      </c>
      <c r="ET3" t="e">
        <f>AND(#REF!,"AAAAAH+G/5U=")</f>
        <v>#REF!</v>
      </c>
      <c r="EU3" t="e">
        <f>AND(#REF!,"AAAAAH+G/5Y=")</f>
        <v>#REF!</v>
      </c>
      <c r="EV3" t="e">
        <f>AND(#REF!,"AAAAAH+G/5c=")</f>
        <v>#REF!</v>
      </c>
      <c r="EW3" t="e">
        <f>AND(#REF!,"AAAAAH+G/5g=")</f>
        <v>#REF!</v>
      </c>
      <c r="EX3" t="e">
        <f>AND(#REF!,"AAAAAH+G/5k=")</f>
        <v>#REF!</v>
      </c>
      <c r="EY3" t="e">
        <f>AND(#REF!,"AAAAAH+G/5o=")</f>
        <v>#REF!</v>
      </c>
      <c r="EZ3" t="e">
        <f>AND(#REF!,"AAAAAH+G/5s=")</f>
        <v>#REF!</v>
      </c>
      <c r="FA3" t="e">
        <f>AND(#REF!,"AAAAAH+G/5w=")</f>
        <v>#REF!</v>
      </c>
      <c r="FB3" t="e">
        <f>AND(#REF!,"AAAAAH+G/50=")</f>
        <v>#REF!</v>
      </c>
      <c r="FC3" t="e">
        <f>AND(#REF!,"AAAAAH+G/54=")</f>
        <v>#REF!</v>
      </c>
      <c r="FD3" t="e">
        <f>AND(#REF!,"AAAAAH+G/58=")</f>
        <v>#REF!</v>
      </c>
      <c r="FE3" t="e">
        <f>AND(#REF!,"AAAAAH+G/6A=")</f>
        <v>#REF!</v>
      </c>
      <c r="FF3" t="e">
        <f>AND(#REF!,"AAAAAH+G/6E=")</f>
        <v>#REF!</v>
      </c>
      <c r="FG3" t="e">
        <f>AND(#REF!,"AAAAAH+G/6I=")</f>
        <v>#REF!</v>
      </c>
      <c r="FH3" t="e">
        <f>AND(#REF!,"AAAAAH+G/6M=")</f>
        <v>#REF!</v>
      </c>
      <c r="FI3" t="e">
        <f>AND(#REF!,"AAAAAH+G/6Q=")</f>
        <v>#REF!</v>
      </c>
      <c r="FJ3" t="e">
        <f>AND(#REF!,"AAAAAH+G/6U=")</f>
        <v>#REF!</v>
      </c>
      <c r="FK3" t="e">
        <f>AND(#REF!,"AAAAAH+G/6Y=")</f>
        <v>#REF!</v>
      </c>
      <c r="FL3" t="e">
        <f>AND(#REF!,"AAAAAH+G/6c=")</f>
        <v>#REF!</v>
      </c>
      <c r="FM3" t="e">
        <f>IF(#REF!,"AAAAAH+G/6g=",0)</f>
        <v>#REF!</v>
      </c>
      <c r="FN3" t="e">
        <f>AND(#REF!,"AAAAAH+G/6k=")</f>
        <v>#REF!</v>
      </c>
      <c r="FO3" t="e">
        <f>AND(#REF!,"AAAAAH+G/6o=")</f>
        <v>#REF!</v>
      </c>
      <c r="FP3" t="e">
        <f>AND(#REF!,"AAAAAH+G/6s=")</f>
        <v>#REF!</v>
      </c>
      <c r="FQ3" t="e">
        <f>AND(#REF!,"AAAAAH+G/6w=")</f>
        <v>#REF!</v>
      </c>
      <c r="FR3" t="e">
        <f>AND(#REF!,"AAAAAH+G/60=")</f>
        <v>#REF!</v>
      </c>
      <c r="FS3" t="e">
        <f>AND(#REF!,"AAAAAH+G/64=")</f>
        <v>#REF!</v>
      </c>
      <c r="FT3" t="e">
        <f>AND(#REF!,"AAAAAH+G/68=")</f>
        <v>#REF!</v>
      </c>
      <c r="FU3" t="e">
        <f>AND(#REF!,"AAAAAH+G/7A=")</f>
        <v>#REF!</v>
      </c>
      <c r="FV3" t="e">
        <f>AND(#REF!,"AAAAAH+G/7E=")</f>
        <v>#REF!</v>
      </c>
      <c r="FW3" t="e">
        <f>AND(#REF!,"AAAAAH+G/7I=")</f>
        <v>#REF!</v>
      </c>
      <c r="FX3" t="e">
        <f>AND(#REF!,"AAAAAH+G/7M=")</f>
        <v>#REF!</v>
      </c>
      <c r="FY3" t="e">
        <f>AND(#REF!,"AAAAAH+G/7Q=")</f>
        <v>#REF!</v>
      </c>
      <c r="FZ3" t="e">
        <f>AND(#REF!,"AAAAAH+G/7U=")</f>
        <v>#REF!</v>
      </c>
      <c r="GA3" t="e">
        <f>AND(#REF!,"AAAAAH+G/7Y=")</f>
        <v>#REF!</v>
      </c>
      <c r="GB3" t="e">
        <f>AND(#REF!,"AAAAAH+G/7c=")</f>
        <v>#REF!</v>
      </c>
      <c r="GC3" t="e">
        <f>AND(#REF!,"AAAAAH+G/7g=")</f>
        <v>#REF!</v>
      </c>
      <c r="GD3" t="e">
        <f>AND(#REF!,"AAAAAH+G/7k=")</f>
        <v>#REF!</v>
      </c>
      <c r="GE3" t="e">
        <f>AND(#REF!,"AAAAAH+G/7o=")</f>
        <v>#REF!</v>
      </c>
      <c r="GF3" t="e">
        <f>AND(#REF!,"AAAAAH+G/7s=")</f>
        <v>#REF!</v>
      </c>
      <c r="GG3" t="e">
        <f>IF(#REF!,"AAAAAH+G/7w=",0)</f>
        <v>#REF!</v>
      </c>
      <c r="GH3" t="e">
        <f>AND(#REF!,"AAAAAH+G/70=")</f>
        <v>#REF!</v>
      </c>
      <c r="GI3" t="e">
        <f>AND(#REF!,"AAAAAH+G/74=")</f>
        <v>#REF!</v>
      </c>
      <c r="GJ3" t="e">
        <f>AND(#REF!,"AAAAAH+G/78=")</f>
        <v>#REF!</v>
      </c>
      <c r="GK3" t="e">
        <f>AND(#REF!,"AAAAAH+G/8A=")</f>
        <v>#REF!</v>
      </c>
      <c r="GL3" t="e">
        <f>AND(#REF!,"AAAAAH+G/8E=")</f>
        <v>#REF!</v>
      </c>
      <c r="GM3" t="e">
        <f>AND(#REF!,"AAAAAH+G/8I=")</f>
        <v>#REF!</v>
      </c>
      <c r="GN3" t="e">
        <f>AND(#REF!,"AAAAAH+G/8M=")</f>
        <v>#REF!</v>
      </c>
      <c r="GO3" t="e">
        <f>AND(#REF!,"AAAAAH+G/8Q=")</f>
        <v>#REF!</v>
      </c>
      <c r="GP3" t="e">
        <f>AND(#REF!,"AAAAAH+G/8U=")</f>
        <v>#REF!</v>
      </c>
      <c r="GQ3" t="e">
        <f>AND(#REF!,"AAAAAH+G/8Y=")</f>
        <v>#REF!</v>
      </c>
      <c r="GR3" t="e">
        <f>AND(#REF!,"AAAAAH+G/8c=")</f>
        <v>#REF!</v>
      </c>
      <c r="GS3" t="e">
        <f>AND(#REF!,"AAAAAH+G/8g=")</f>
        <v>#REF!</v>
      </c>
      <c r="GT3" t="e">
        <f>AND(#REF!,"AAAAAH+G/8k=")</f>
        <v>#REF!</v>
      </c>
      <c r="GU3" t="e">
        <f>AND(#REF!,"AAAAAH+G/8o=")</f>
        <v>#REF!</v>
      </c>
      <c r="GV3" t="e">
        <f>AND(#REF!,"AAAAAH+G/8s=")</f>
        <v>#REF!</v>
      </c>
      <c r="GW3" t="e">
        <f>AND(#REF!,"AAAAAH+G/8w=")</f>
        <v>#REF!</v>
      </c>
      <c r="GX3" t="e">
        <f>AND(#REF!,"AAAAAH+G/80=")</f>
        <v>#REF!</v>
      </c>
      <c r="GY3" t="e">
        <f>AND(#REF!,"AAAAAH+G/84=")</f>
        <v>#REF!</v>
      </c>
      <c r="GZ3" t="e">
        <f>AND(#REF!,"AAAAAH+G/88=")</f>
        <v>#REF!</v>
      </c>
      <c r="HA3" t="e">
        <f>IF(#REF!,"AAAAAH+G/9A=",0)</f>
        <v>#REF!</v>
      </c>
      <c r="HB3" t="e">
        <f>AND(#REF!,"AAAAAH+G/9E=")</f>
        <v>#REF!</v>
      </c>
      <c r="HC3" t="e">
        <f>AND(#REF!,"AAAAAH+G/9I=")</f>
        <v>#REF!</v>
      </c>
      <c r="HD3" t="e">
        <f>AND(#REF!,"AAAAAH+G/9M=")</f>
        <v>#REF!</v>
      </c>
      <c r="HE3" t="e">
        <f>AND(#REF!,"AAAAAH+G/9Q=")</f>
        <v>#REF!</v>
      </c>
      <c r="HF3" t="e">
        <f>AND(#REF!,"AAAAAH+G/9U=")</f>
        <v>#REF!</v>
      </c>
      <c r="HG3" t="e">
        <f>AND(#REF!,"AAAAAH+G/9Y=")</f>
        <v>#REF!</v>
      </c>
      <c r="HH3" t="e">
        <f>AND(#REF!,"AAAAAH+G/9c=")</f>
        <v>#REF!</v>
      </c>
      <c r="HI3" t="e">
        <f>AND(#REF!,"AAAAAH+G/9g=")</f>
        <v>#REF!</v>
      </c>
      <c r="HJ3" t="e">
        <f>AND(#REF!,"AAAAAH+G/9k=")</f>
        <v>#REF!</v>
      </c>
      <c r="HK3" t="e">
        <f>AND(#REF!,"AAAAAH+G/9o=")</f>
        <v>#REF!</v>
      </c>
      <c r="HL3" t="e">
        <f>AND(#REF!,"AAAAAH+G/9s=")</f>
        <v>#REF!</v>
      </c>
      <c r="HM3" t="e">
        <f>AND(#REF!,"AAAAAH+G/9w=")</f>
        <v>#REF!</v>
      </c>
      <c r="HN3" t="e">
        <f>AND(#REF!,"AAAAAH+G/90=")</f>
        <v>#REF!</v>
      </c>
      <c r="HO3" t="e">
        <f>AND(#REF!,"AAAAAH+G/94=")</f>
        <v>#REF!</v>
      </c>
      <c r="HP3" t="e">
        <f>AND(#REF!,"AAAAAH+G/98=")</f>
        <v>#REF!</v>
      </c>
      <c r="HQ3" t="e">
        <f>AND(#REF!,"AAAAAH+G/+A=")</f>
        <v>#REF!</v>
      </c>
      <c r="HR3" t="e">
        <f>AND(#REF!,"AAAAAH+G/+E=")</f>
        <v>#REF!</v>
      </c>
      <c r="HS3" t="e">
        <f>AND(#REF!,"AAAAAH+G/+I=")</f>
        <v>#REF!</v>
      </c>
      <c r="HT3" t="e">
        <f>AND(#REF!,"AAAAAH+G/+M=")</f>
        <v>#REF!</v>
      </c>
      <c r="HU3" t="e">
        <f>IF(#REF!,"AAAAAH+G/+Q=",0)</f>
        <v>#REF!</v>
      </c>
      <c r="HV3" t="e">
        <f>AND(#REF!,"AAAAAH+G/+U=")</f>
        <v>#REF!</v>
      </c>
      <c r="HW3" t="e">
        <f>AND(#REF!,"AAAAAH+G/+Y=")</f>
        <v>#REF!</v>
      </c>
      <c r="HX3" t="e">
        <f>AND(#REF!,"AAAAAH+G/+c=")</f>
        <v>#REF!</v>
      </c>
      <c r="HY3" t="e">
        <f>AND(#REF!,"AAAAAH+G/+g=")</f>
        <v>#REF!</v>
      </c>
      <c r="HZ3" t="e">
        <f>AND(#REF!,"AAAAAH+G/+k=")</f>
        <v>#REF!</v>
      </c>
      <c r="IA3" t="e">
        <f>AND(#REF!,"AAAAAH+G/+o=")</f>
        <v>#REF!</v>
      </c>
      <c r="IB3" t="e">
        <f>AND(#REF!,"AAAAAH+G/+s=")</f>
        <v>#REF!</v>
      </c>
      <c r="IC3" t="e">
        <f>AND(#REF!,"AAAAAH+G/+w=")</f>
        <v>#REF!</v>
      </c>
      <c r="ID3" t="e">
        <f>AND(#REF!,"AAAAAH+G/+0=")</f>
        <v>#REF!</v>
      </c>
      <c r="IE3" t="e">
        <f>AND(#REF!,"AAAAAH+G/+4=")</f>
        <v>#REF!</v>
      </c>
      <c r="IF3" t="e">
        <f>AND(#REF!,"AAAAAH+G/+8=")</f>
        <v>#REF!</v>
      </c>
      <c r="IG3" t="e">
        <f>AND(#REF!,"AAAAAH+G//A=")</f>
        <v>#REF!</v>
      </c>
      <c r="IH3" t="e">
        <f>AND(#REF!,"AAAAAH+G//E=")</f>
        <v>#REF!</v>
      </c>
      <c r="II3" t="e">
        <f>AND(#REF!,"AAAAAH+G//I=")</f>
        <v>#REF!</v>
      </c>
      <c r="IJ3" t="e">
        <f>AND(#REF!,"AAAAAH+G//M=")</f>
        <v>#REF!</v>
      </c>
      <c r="IK3" t="e">
        <f>AND(#REF!,"AAAAAH+G//Q=")</f>
        <v>#REF!</v>
      </c>
      <c r="IL3" t="e">
        <f>AND(#REF!,"AAAAAH+G//U=")</f>
        <v>#REF!</v>
      </c>
      <c r="IM3" t="e">
        <f>AND(#REF!,"AAAAAH+G//Y=")</f>
        <v>#REF!</v>
      </c>
      <c r="IN3" t="e">
        <f>AND(#REF!,"AAAAAH+G//c=")</f>
        <v>#REF!</v>
      </c>
      <c r="IO3" t="e">
        <f>IF(#REF!,"AAAAAH+G//g=",0)</f>
        <v>#REF!</v>
      </c>
      <c r="IP3" t="e">
        <f>AND(#REF!,"AAAAAH+G//k=")</f>
        <v>#REF!</v>
      </c>
      <c r="IQ3" t="e">
        <f>AND(#REF!,"AAAAAH+G//o=")</f>
        <v>#REF!</v>
      </c>
      <c r="IR3" t="e">
        <f>AND(#REF!,"AAAAAH+G//s=")</f>
        <v>#REF!</v>
      </c>
      <c r="IS3" t="e">
        <f>AND(#REF!,"AAAAAH+G//w=")</f>
        <v>#REF!</v>
      </c>
      <c r="IT3" t="e">
        <f>AND(#REF!,"AAAAAH+G//0=")</f>
        <v>#REF!</v>
      </c>
      <c r="IU3" t="e">
        <f>AND(#REF!,"AAAAAH+G//4=")</f>
        <v>#REF!</v>
      </c>
      <c r="IV3" t="e">
        <f>AND(#REF!,"AAAAAH+G//8=")</f>
        <v>#REF!</v>
      </c>
    </row>
    <row r="4" spans="1:256" x14ac:dyDescent="0.15">
      <c r="A4" t="e">
        <f>AND(#REF!,"AAAAADfy9QA=")</f>
        <v>#REF!</v>
      </c>
      <c r="B4" t="e">
        <f>AND(#REF!,"AAAAADfy9QE=")</f>
        <v>#REF!</v>
      </c>
      <c r="C4" t="e">
        <f>AND(#REF!,"AAAAADfy9QI=")</f>
        <v>#REF!</v>
      </c>
      <c r="D4" t="e">
        <f>AND(#REF!,"AAAAADfy9QM=")</f>
        <v>#REF!</v>
      </c>
      <c r="E4" t="e">
        <f>AND(#REF!,"AAAAADfy9QQ=")</f>
        <v>#REF!</v>
      </c>
      <c r="F4" t="e">
        <f>AND(#REF!,"AAAAADfy9QU=")</f>
        <v>#REF!</v>
      </c>
      <c r="G4" t="e">
        <f>AND(#REF!,"AAAAADfy9QY=")</f>
        <v>#REF!</v>
      </c>
      <c r="H4" t="e">
        <f>AND(#REF!,"AAAAADfy9Qc=")</f>
        <v>#REF!</v>
      </c>
      <c r="I4" t="e">
        <f>AND(#REF!,"AAAAADfy9Qg=")</f>
        <v>#REF!</v>
      </c>
      <c r="J4" t="e">
        <f>AND(#REF!,"AAAAADfy9Qk=")</f>
        <v>#REF!</v>
      </c>
      <c r="K4" t="e">
        <f>AND(#REF!,"AAAAADfy9Qo=")</f>
        <v>#REF!</v>
      </c>
      <c r="L4" t="e">
        <f>AND(#REF!,"AAAAADfy9Qs=")</f>
        <v>#REF!</v>
      </c>
      <c r="M4" t="e">
        <f>IF(#REF!,"AAAAADfy9Qw=",0)</f>
        <v>#REF!</v>
      </c>
      <c r="N4" t="e">
        <f>AND(#REF!,"AAAAADfy9Q0=")</f>
        <v>#REF!</v>
      </c>
      <c r="O4" t="e">
        <f>AND(#REF!,"AAAAADfy9Q4=")</f>
        <v>#REF!</v>
      </c>
      <c r="P4" t="e">
        <f>AND(#REF!,"AAAAADfy9Q8=")</f>
        <v>#REF!</v>
      </c>
      <c r="Q4" t="e">
        <f>AND(#REF!,"AAAAADfy9RA=")</f>
        <v>#REF!</v>
      </c>
      <c r="R4" t="e">
        <f>AND(#REF!,"AAAAADfy9RE=")</f>
        <v>#REF!</v>
      </c>
      <c r="S4" t="e">
        <f>AND(#REF!,"AAAAADfy9RI=")</f>
        <v>#REF!</v>
      </c>
      <c r="T4" t="e">
        <f>AND(#REF!,"AAAAADfy9RM=")</f>
        <v>#REF!</v>
      </c>
      <c r="U4" t="e">
        <f>AND(#REF!,"AAAAADfy9RQ=")</f>
        <v>#REF!</v>
      </c>
      <c r="V4" t="e">
        <f>AND(#REF!,"AAAAADfy9RU=")</f>
        <v>#REF!</v>
      </c>
      <c r="W4" t="e">
        <f>AND(#REF!,"AAAAADfy9RY=")</f>
        <v>#REF!</v>
      </c>
      <c r="X4" t="e">
        <f>AND(#REF!,"AAAAADfy9Rc=")</f>
        <v>#REF!</v>
      </c>
      <c r="Y4" t="e">
        <f>AND(#REF!,"AAAAADfy9Rg=")</f>
        <v>#REF!</v>
      </c>
      <c r="Z4" t="e">
        <f>AND(#REF!,"AAAAADfy9Rk=")</f>
        <v>#REF!</v>
      </c>
      <c r="AA4" t="e">
        <f>AND(#REF!,"AAAAADfy9Ro=")</f>
        <v>#REF!</v>
      </c>
      <c r="AB4" t="e">
        <f>AND(#REF!,"AAAAADfy9Rs=")</f>
        <v>#REF!</v>
      </c>
      <c r="AC4" t="e">
        <f>AND(#REF!,"AAAAADfy9Rw=")</f>
        <v>#REF!</v>
      </c>
      <c r="AD4" t="e">
        <f>AND(#REF!,"AAAAADfy9R0=")</f>
        <v>#REF!</v>
      </c>
      <c r="AE4" t="e">
        <f>AND(#REF!,"AAAAADfy9R4=")</f>
        <v>#REF!</v>
      </c>
      <c r="AF4" t="e">
        <f>AND(#REF!,"AAAAADfy9R8=")</f>
        <v>#REF!</v>
      </c>
      <c r="AG4" t="e">
        <f>IF(#REF!,"AAAAADfy9SA=",0)</f>
        <v>#REF!</v>
      </c>
      <c r="AH4" t="e">
        <f>AND(#REF!,"AAAAADfy9SE=")</f>
        <v>#REF!</v>
      </c>
      <c r="AI4" t="e">
        <f>AND(#REF!,"AAAAADfy9SI=")</f>
        <v>#REF!</v>
      </c>
      <c r="AJ4" t="e">
        <f>AND(#REF!,"AAAAADfy9SM=")</f>
        <v>#REF!</v>
      </c>
      <c r="AK4" t="e">
        <f>AND(#REF!,"AAAAADfy9SQ=")</f>
        <v>#REF!</v>
      </c>
      <c r="AL4" t="e">
        <f>AND(#REF!,"AAAAADfy9SU=")</f>
        <v>#REF!</v>
      </c>
      <c r="AM4" t="e">
        <f>AND(#REF!,"AAAAADfy9SY=")</f>
        <v>#REF!</v>
      </c>
      <c r="AN4" t="e">
        <f>AND(#REF!,"AAAAADfy9Sc=")</f>
        <v>#REF!</v>
      </c>
      <c r="AO4" t="e">
        <f>AND(#REF!,"AAAAADfy9Sg=")</f>
        <v>#REF!</v>
      </c>
      <c r="AP4" t="e">
        <f>AND(#REF!,"AAAAADfy9Sk=")</f>
        <v>#REF!</v>
      </c>
      <c r="AQ4" t="e">
        <f>AND(#REF!,"AAAAADfy9So=")</f>
        <v>#REF!</v>
      </c>
      <c r="AR4" t="e">
        <f>AND(#REF!,"AAAAADfy9Ss=")</f>
        <v>#REF!</v>
      </c>
      <c r="AS4" t="e">
        <f>AND(#REF!,"AAAAADfy9Sw=")</f>
        <v>#REF!</v>
      </c>
      <c r="AT4" t="e">
        <f>AND(#REF!,"AAAAADfy9S0=")</f>
        <v>#REF!</v>
      </c>
      <c r="AU4" t="e">
        <f>AND(#REF!,"AAAAADfy9S4=")</f>
        <v>#REF!</v>
      </c>
      <c r="AV4" t="e">
        <f>AND(#REF!,"AAAAADfy9S8=")</f>
        <v>#REF!</v>
      </c>
      <c r="AW4" t="e">
        <f>AND(#REF!,"AAAAADfy9TA=")</f>
        <v>#REF!</v>
      </c>
      <c r="AX4" t="e">
        <f>AND(#REF!,"AAAAADfy9TE=")</f>
        <v>#REF!</v>
      </c>
      <c r="AY4" t="e">
        <f>AND(#REF!,"AAAAADfy9TI=")</f>
        <v>#REF!</v>
      </c>
      <c r="AZ4" t="e">
        <f>AND(#REF!,"AAAAADfy9TM=")</f>
        <v>#REF!</v>
      </c>
      <c r="BA4" t="e">
        <f>IF(#REF!,"AAAAADfy9TQ=",0)</f>
        <v>#REF!</v>
      </c>
      <c r="BB4" t="e">
        <f>AND(#REF!,"AAAAADfy9TU=")</f>
        <v>#REF!</v>
      </c>
      <c r="BC4" t="e">
        <f>AND(#REF!,"AAAAADfy9TY=")</f>
        <v>#REF!</v>
      </c>
      <c r="BD4" t="e">
        <f>AND(#REF!,"AAAAADfy9Tc=")</f>
        <v>#REF!</v>
      </c>
      <c r="BE4" t="e">
        <f>AND(#REF!,"AAAAADfy9Tg=")</f>
        <v>#REF!</v>
      </c>
      <c r="BF4" t="e">
        <f>AND(#REF!,"AAAAADfy9Tk=")</f>
        <v>#REF!</v>
      </c>
      <c r="BG4" t="e">
        <f>AND(#REF!,"AAAAADfy9To=")</f>
        <v>#REF!</v>
      </c>
      <c r="BH4" t="e">
        <f>AND(#REF!,"AAAAADfy9Ts=")</f>
        <v>#REF!</v>
      </c>
      <c r="BI4" t="e">
        <f>AND(#REF!,"AAAAADfy9Tw=")</f>
        <v>#REF!</v>
      </c>
      <c r="BJ4" t="e">
        <f>AND(#REF!,"AAAAADfy9T0=")</f>
        <v>#REF!</v>
      </c>
      <c r="BK4" t="e">
        <f>AND(#REF!,"AAAAADfy9T4=")</f>
        <v>#REF!</v>
      </c>
      <c r="BL4" t="e">
        <f>AND(#REF!,"AAAAADfy9T8=")</f>
        <v>#REF!</v>
      </c>
      <c r="BM4" t="e">
        <f>AND(#REF!,"AAAAADfy9UA=")</f>
        <v>#REF!</v>
      </c>
      <c r="BN4" t="e">
        <f>AND(#REF!,"AAAAADfy9UE=")</f>
        <v>#REF!</v>
      </c>
      <c r="BO4" t="e">
        <f>AND(#REF!,"AAAAADfy9UI=")</f>
        <v>#REF!</v>
      </c>
      <c r="BP4" t="e">
        <f>AND(#REF!,"AAAAADfy9UM=")</f>
        <v>#REF!</v>
      </c>
      <c r="BQ4" t="e">
        <f>AND(#REF!,"AAAAADfy9UQ=")</f>
        <v>#REF!</v>
      </c>
      <c r="BR4" t="e">
        <f>AND(#REF!,"AAAAADfy9UU=")</f>
        <v>#REF!</v>
      </c>
      <c r="BS4" t="e">
        <f>AND(#REF!,"AAAAADfy9UY=")</f>
        <v>#REF!</v>
      </c>
      <c r="BT4" t="e">
        <f>AND(#REF!,"AAAAADfy9Uc=")</f>
        <v>#REF!</v>
      </c>
      <c r="BU4" t="e">
        <f>IF(#REF!,"AAAAADfy9Ug=",0)</f>
        <v>#REF!</v>
      </c>
      <c r="BV4" t="e">
        <f>AND(#REF!,"AAAAADfy9Uk=")</f>
        <v>#REF!</v>
      </c>
      <c r="BW4" t="e">
        <f>AND(#REF!,"AAAAADfy9Uo=")</f>
        <v>#REF!</v>
      </c>
      <c r="BX4" t="e">
        <f>AND(#REF!,"AAAAADfy9Us=")</f>
        <v>#REF!</v>
      </c>
      <c r="BY4" t="e">
        <f>AND(#REF!,"AAAAADfy9Uw=")</f>
        <v>#REF!</v>
      </c>
      <c r="BZ4" t="e">
        <f>AND(#REF!,"AAAAADfy9U0=")</f>
        <v>#REF!</v>
      </c>
      <c r="CA4" t="e">
        <f>AND(#REF!,"AAAAADfy9U4=")</f>
        <v>#REF!</v>
      </c>
      <c r="CB4" t="e">
        <f>AND(#REF!,"AAAAADfy9U8=")</f>
        <v>#REF!</v>
      </c>
      <c r="CC4" t="e">
        <f>AND(#REF!,"AAAAADfy9VA=")</f>
        <v>#REF!</v>
      </c>
      <c r="CD4" t="e">
        <f>AND(#REF!,"AAAAADfy9VE=")</f>
        <v>#REF!</v>
      </c>
      <c r="CE4" t="e">
        <f>AND(#REF!,"AAAAADfy9VI=")</f>
        <v>#REF!</v>
      </c>
      <c r="CF4" t="e">
        <f>AND(#REF!,"AAAAADfy9VM=")</f>
        <v>#REF!</v>
      </c>
      <c r="CG4" t="e">
        <f>AND(#REF!,"AAAAADfy9VQ=")</f>
        <v>#REF!</v>
      </c>
      <c r="CH4" t="e">
        <f>AND(#REF!,"AAAAADfy9VU=")</f>
        <v>#REF!</v>
      </c>
      <c r="CI4" t="e">
        <f>AND(#REF!,"AAAAADfy9VY=")</f>
        <v>#REF!</v>
      </c>
      <c r="CJ4" t="e">
        <f>AND(#REF!,"AAAAADfy9Vc=")</f>
        <v>#REF!</v>
      </c>
      <c r="CK4" t="e">
        <f>AND(#REF!,"AAAAADfy9Vg=")</f>
        <v>#REF!</v>
      </c>
      <c r="CL4" t="e">
        <f>AND(#REF!,"AAAAADfy9Vk=")</f>
        <v>#REF!</v>
      </c>
      <c r="CM4" t="e">
        <f>AND(#REF!,"AAAAADfy9Vo=")</f>
        <v>#REF!</v>
      </c>
      <c r="CN4" t="e">
        <f>AND(#REF!,"AAAAADfy9Vs=")</f>
        <v>#REF!</v>
      </c>
      <c r="CO4" t="e">
        <f>IF(#REF!,"AAAAADfy9Vw=",0)</f>
        <v>#REF!</v>
      </c>
      <c r="CP4" t="e">
        <f>AND(#REF!,"AAAAADfy9V0=")</f>
        <v>#REF!</v>
      </c>
      <c r="CQ4" t="e">
        <f>AND(#REF!,"AAAAADfy9V4=")</f>
        <v>#REF!</v>
      </c>
      <c r="CR4" t="e">
        <f>AND(#REF!,"AAAAADfy9V8=")</f>
        <v>#REF!</v>
      </c>
      <c r="CS4" t="e">
        <f>AND(#REF!,"AAAAADfy9WA=")</f>
        <v>#REF!</v>
      </c>
      <c r="CT4" t="e">
        <f>AND(#REF!,"AAAAADfy9WE=")</f>
        <v>#REF!</v>
      </c>
      <c r="CU4" t="e">
        <f>AND(#REF!,"AAAAADfy9WI=")</f>
        <v>#REF!</v>
      </c>
      <c r="CV4" t="e">
        <f>AND(#REF!,"AAAAADfy9WM=")</f>
        <v>#REF!</v>
      </c>
      <c r="CW4" t="e">
        <f>AND(#REF!,"AAAAADfy9WQ=")</f>
        <v>#REF!</v>
      </c>
      <c r="CX4" t="e">
        <f>AND(#REF!,"AAAAADfy9WU=")</f>
        <v>#REF!</v>
      </c>
      <c r="CY4" t="e">
        <f>AND(#REF!,"AAAAADfy9WY=")</f>
        <v>#REF!</v>
      </c>
      <c r="CZ4" t="e">
        <f>AND(#REF!,"AAAAADfy9Wc=")</f>
        <v>#REF!</v>
      </c>
      <c r="DA4" t="e">
        <f>AND(#REF!,"AAAAADfy9Wg=")</f>
        <v>#REF!</v>
      </c>
      <c r="DB4" t="e">
        <f>AND(#REF!,"AAAAADfy9Wk=")</f>
        <v>#REF!</v>
      </c>
      <c r="DC4" t="e">
        <f>AND(#REF!,"AAAAADfy9Wo=")</f>
        <v>#REF!</v>
      </c>
      <c r="DD4" t="e">
        <f>AND(#REF!,"AAAAADfy9Ws=")</f>
        <v>#REF!</v>
      </c>
      <c r="DE4" t="e">
        <f>AND(#REF!,"AAAAADfy9Ww=")</f>
        <v>#REF!</v>
      </c>
      <c r="DF4" t="e">
        <f>AND(#REF!,"AAAAADfy9W0=")</f>
        <v>#REF!</v>
      </c>
      <c r="DG4" t="e">
        <f>AND(#REF!,"AAAAADfy9W4=")</f>
        <v>#REF!</v>
      </c>
      <c r="DH4" t="e">
        <f>AND(#REF!,"AAAAADfy9W8=")</f>
        <v>#REF!</v>
      </c>
      <c r="DI4" t="e">
        <f>IF(#REF!,"AAAAADfy9XA=",0)</f>
        <v>#REF!</v>
      </c>
      <c r="DJ4" t="e">
        <f>AND(#REF!,"AAAAADfy9XE=")</f>
        <v>#REF!</v>
      </c>
      <c r="DK4" t="e">
        <f>AND(#REF!,"AAAAADfy9XI=")</f>
        <v>#REF!</v>
      </c>
      <c r="DL4" t="e">
        <f>AND(#REF!,"AAAAADfy9XM=")</f>
        <v>#REF!</v>
      </c>
      <c r="DM4" t="e">
        <f>AND(#REF!,"AAAAADfy9XQ=")</f>
        <v>#REF!</v>
      </c>
      <c r="DN4" t="e">
        <f>AND(#REF!,"AAAAADfy9XU=")</f>
        <v>#REF!</v>
      </c>
      <c r="DO4" t="e">
        <f>AND(#REF!,"AAAAADfy9XY=")</f>
        <v>#REF!</v>
      </c>
      <c r="DP4" t="e">
        <f>AND(#REF!,"AAAAADfy9Xc=")</f>
        <v>#REF!</v>
      </c>
      <c r="DQ4" t="e">
        <f>AND(#REF!,"AAAAADfy9Xg=")</f>
        <v>#REF!</v>
      </c>
      <c r="DR4" t="e">
        <f>AND(#REF!,"AAAAADfy9Xk=")</f>
        <v>#REF!</v>
      </c>
      <c r="DS4" t="e">
        <f>AND(#REF!,"AAAAADfy9Xo=")</f>
        <v>#REF!</v>
      </c>
      <c r="DT4" t="e">
        <f>AND(#REF!,"AAAAADfy9Xs=")</f>
        <v>#REF!</v>
      </c>
      <c r="DU4" t="e">
        <f>AND(#REF!,"AAAAADfy9Xw=")</f>
        <v>#REF!</v>
      </c>
      <c r="DV4" t="e">
        <f>AND(#REF!,"AAAAADfy9X0=")</f>
        <v>#REF!</v>
      </c>
      <c r="DW4" t="e">
        <f>AND(#REF!,"AAAAADfy9X4=")</f>
        <v>#REF!</v>
      </c>
      <c r="DX4" t="e">
        <f>AND(#REF!,"AAAAADfy9X8=")</f>
        <v>#REF!</v>
      </c>
      <c r="DY4" t="e">
        <f>AND(#REF!,"AAAAADfy9YA=")</f>
        <v>#REF!</v>
      </c>
      <c r="DZ4" t="e">
        <f>AND(#REF!,"AAAAADfy9YE=")</f>
        <v>#REF!</v>
      </c>
      <c r="EA4" t="e">
        <f>AND(#REF!,"AAAAADfy9YI=")</f>
        <v>#REF!</v>
      </c>
      <c r="EB4" t="e">
        <f>AND(#REF!,"AAAAADfy9YM=")</f>
        <v>#REF!</v>
      </c>
      <c r="EC4" t="e">
        <f>IF(#REF!,"AAAAADfy9YQ=",0)</f>
        <v>#REF!</v>
      </c>
      <c r="ED4" t="e">
        <f>AND(#REF!,"AAAAADfy9YU=")</f>
        <v>#REF!</v>
      </c>
      <c r="EE4" t="e">
        <f>AND(#REF!,"AAAAADfy9YY=")</f>
        <v>#REF!</v>
      </c>
      <c r="EF4" t="e">
        <f>AND(#REF!,"AAAAADfy9Yc=")</f>
        <v>#REF!</v>
      </c>
      <c r="EG4" t="e">
        <f>AND(#REF!,"AAAAADfy9Yg=")</f>
        <v>#REF!</v>
      </c>
      <c r="EH4" t="e">
        <f>AND(#REF!,"AAAAADfy9Yk=")</f>
        <v>#REF!</v>
      </c>
      <c r="EI4" t="e">
        <f>AND(#REF!,"AAAAADfy9Yo=")</f>
        <v>#REF!</v>
      </c>
      <c r="EJ4" t="e">
        <f>AND(#REF!,"AAAAADfy9Ys=")</f>
        <v>#REF!</v>
      </c>
      <c r="EK4" t="e">
        <f>AND(#REF!,"AAAAADfy9Yw=")</f>
        <v>#REF!</v>
      </c>
      <c r="EL4" t="e">
        <f>AND(#REF!,"AAAAADfy9Y0=")</f>
        <v>#REF!</v>
      </c>
      <c r="EM4" t="e">
        <f>AND(#REF!,"AAAAADfy9Y4=")</f>
        <v>#REF!</v>
      </c>
      <c r="EN4" t="e">
        <f>AND(#REF!,"AAAAADfy9Y8=")</f>
        <v>#REF!</v>
      </c>
      <c r="EO4" t="e">
        <f>AND(#REF!,"AAAAADfy9ZA=")</f>
        <v>#REF!</v>
      </c>
      <c r="EP4" t="e">
        <f>AND(#REF!,"AAAAADfy9ZE=")</f>
        <v>#REF!</v>
      </c>
      <c r="EQ4" t="e">
        <f>AND(#REF!,"AAAAADfy9ZI=")</f>
        <v>#REF!</v>
      </c>
      <c r="ER4" t="e">
        <f>AND(#REF!,"AAAAADfy9ZM=")</f>
        <v>#REF!</v>
      </c>
      <c r="ES4" t="e">
        <f>AND(#REF!,"AAAAADfy9ZQ=")</f>
        <v>#REF!</v>
      </c>
      <c r="ET4" t="e">
        <f>AND(#REF!,"AAAAADfy9ZU=")</f>
        <v>#REF!</v>
      </c>
      <c r="EU4" t="e">
        <f>AND(#REF!,"AAAAADfy9ZY=")</f>
        <v>#REF!</v>
      </c>
      <c r="EV4" t="e">
        <f>AND(#REF!,"AAAAADfy9Zc=")</f>
        <v>#REF!</v>
      </c>
      <c r="EW4" t="e">
        <f>IF(#REF!,"AAAAADfy9Zg=",0)</f>
        <v>#REF!</v>
      </c>
      <c r="EX4" t="e">
        <f>AND(#REF!,"AAAAADfy9Zk=")</f>
        <v>#REF!</v>
      </c>
      <c r="EY4" t="e">
        <f>AND(#REF!,"AAAAADfy9Zo=")</f>
        <v>#REF!</v>
      </c>
      <c r="EZ4" t="e">
        <f>AND(#REF!,"AAAAADfy9Zs=")</f>
        <v>#REF!</v>
      </c>
      <c r="FA4" t="e">
        <f>AND(#REF!,"AAAAADfy9Zw=")</f>
        <v>#REF!</v>
      </c>
      <c r="FB4" t="e">
        <f>AND(#REF!,"AAAAADfy9Z0=")</f>
        <v>#REF!</v>
      </c>
      <c r="FC4" t="e">
        <f>AND(#REF!,"AAAAADfy9Z4=")</f>
        <v>#REF!</v>
      </c>
      <c r="FD4" t="e">
        <f>AND(#REF!,"AAAAADfy9Z8=")</f>
        <v>#REF!</v>
      </c>
      <c r="FE4" t="e">
        <f>AND(#REF!,"AAAAADfy9aA=")</f>
        <v>#REF!</v>
      </c>
      <c r="FF4" t="e">
        <f>AND(#REF!,"AAAAADfy9aE=")</f>
        <v>#REF!</v>
      </c>
      <c r="FG4" t="e">
        <f>AND(#REF!,"AAAAADfy9aI=")</f>
        <v>#REF!</v>
      </c>
      <c r="FH4" t="e">
        <f>AND(#REF!,"AAAAADfy9aM=")</f>
        <v>#REF!</v>
      </c>
      <c r="FI4" t="e">
        <f>AND(#REF!,"AAAAADfy9aQ=")</f>
        <v>#REF!</v>
      </c>
      <c r="FJ4" t="e">
        <f>AND(#REF!,"AAAAADfy9aU=")</f>
        <v>#REF!</v>
      </c>
      <c r="FK4" t="e">
        <f>AND(#REF!,"AAAAADfy9aY=")</f>
        <v>#REF!</v>
      </c>
      <c r="FL4" t="e">
        <f>AND(#REF!,"AAAAADfy9ac=")</f>
        <v>#REF!</v>
      </c>
      <c r="FM4" t="e">
        <f>AND(#REF!,"AAAAADfy9ag=")</f>
        <v>#REF!</v>
      </c>
      <c r="FN4" t="e">
        <f>AND(#REF!,"AAAAADfy9ak=")</f>
        <v>#REF!</v>
      </c>
      <c r="FO4" t="e">
        <f>AND(#REF!,"AAAAADfy9ao=")</f>
        <v>#REF!</v>
      </c>
      <c r="FP4" t="e">
        <f>AND(#REF!,"AAAAADfy9as=")</f>
        <v>#REF!</v>
      </c>
      <c r="FQ4" t="e">
        <f>IF(#REF!,"AAAAADfy9aw=",0)</f>
        <v>#REF!</v>
      </c>
      <c r="FR4" t="e">
        <f>AND(#REF!,"AAAAADfy9a0=")</f>
        <v>#REF!</v>
      </c>
      <c r="FS4" t="e">
        <f>AND(#REF!,"AAAAADfy9a4=")</f>
        <v>#REF!</v>
      </c>
      <c r="FT4" t="e">
        <f>AND(#REF!,"AAAAADfy9a8=")</f>
        <v>#REF!</v>
      </c>
      <c r="FU4" t="e">
        <f>AND(#REF!,"AAAAADfy9bA=")</f>
        <v>#REF!</v>
      </c>
      <c r="FV4" t="e">
        <f>AND(#REF!,"AAAAADfy9bE=")</f>
        <v>#REF!</v>
      </c>
      <c r="FW4" t="e">
        <f>AND(#REF!,"AAAAADfy9bI=")</f>
        <v>#REF!</v>
      </c>
      <c r="FX4" t="e">
        <f>AND(#REF!,"AAAAADfy9bM=")</f>
        <v>#REF!</v>
      </c>
      <c r="FY4" t="e">
        <f>AND(#REF!,"AAAAADfy9bQ=")</f>
        <v>#REF!</v>
      </c>
      <c r="FZ4" t="e">
        <f>AND(#REF!,"AAAAADfy9bU=")</f>
        <v>#REF!</v>
      </c>
      <c r="GA4" t="e">
        <f>AND(#REF!,"AAAAADfy9bY=")</f>
        <v>#REF!</v>
      </c>
      <c r="GB4" t="e">
        <f>AND(#REF!,"AAAAADfy9bc=")</f>
        <v>#REF!</v>
      </c>
      <c r="GC4" t="e">
        <f>AND(#REF!,"AAAAADfy9bg=")</f>
        <v>#REF!</v>
      </c>
      <c r="GD4" t="e">
        <f>AND(#REF!,"AAAAADfy9bk=")</f>
        <v>#REF!</v>
      </c>
      <c r="GE4" t="e">
        <f>AND(#REF!,"AAAAADfy9bo=")</f>
        <v>#REF!</v>
      </c>
      <c r="GF4" t="e">
        <f>AND(#REF!,"AAAAADfy9bs=")</f>
        <v>#REF!</v>
      </c>
      <c r="GG4" t="e">
        <f>AND(#REF!,"AAAAADfy9bw=")</f>
        <v>#REF!</v>
      </c>
      <c r="GH4" t="e">
        <f>AND(#REF!,"AAAAADfy9b0=")</f>
        <v>#REF!</v>
      </c>
      <c r="GI4" t="e">
        <f>AND(#REF!,"AAAAADfy9b4=")</f>
        <v>#REF!</v>
      </c>
      <c r="GJ4" t="e">
        <f>AND(#REF!,"AAAAADfy9b8=")</f>
        <v>#REF!</v>
      </c>
      <c r="GK4" t="e">
        <f>IF(#REF!,"AAAAADfy9cA=",0)</f>
        <v>#REF!</v>
      </c>
      <c r="GL4" t="e">
        <f>AND(#REF!,"AAAAADfy9cE=")</f>
        <v>#REF!</v>
      </c>
      <c r="GM4" t="e">
        <f>AND(#REF!,"AAAAADfy9cI=")</f>
        <v>#REF!</v>
      </c>
      <c r="GN4" t="e">
        <f>AND(#REF!,"AAAAADfy9cM=")</f>
        <v>#REF!</v>
      </c>
      <c r="GO4" t="e">
        <f>AND(#REF!,"AAAAADfy9cQ=")</f>
        <v>#REF!</v>
      </c>
      <c r="GP4" t="e">
        <f>AND(#REF!,"AAAAADfy9cU=")</f>
        <v>#REF!</v>
      </c>
      <c r="GQ4" t="e">
        <f>AND(#REF!,"AAAAADfy9cY=")</f>
        <v>#REF!</v>
      </c>
      <c r="GR4" t="e">
        <f>AND(#REF!,"AAAAADfy9cc=")</f>
        <v>#REF!</v>
      </c>
      <c r="GS4" t="e">
        <f>AND(#REF!,"AAAAADfy9cg=")</f>
        <v>#REF!</v>
      </c>
      <c r="GT4" t="e">
        <f>AND(#REF!,"AAAAADfy9ck=")</f>
        <v>#REF!</v>
      </c>
      <c r="GU4" t="e">
        <f>AND(#REF!,"AAAAADfy9co=")</f>
        <v>#REF!</v>
      </c>
      <c r="GV4" t="e">
        <f>AND(#REF!,"AAAAADfy9cs=")</f>
        <v>#REF!</v>
      </c>
      <c r="GW4" t="e">
        <f>AND(#REF!,"AAAAADfy9cw=")</f>
        <v>#REF!</v>
      </c>
      <c r="GX4" t="e">
        <f>AND(#REF!,"AAAAADfy9c0=")</f>
        <v>#REF!</v>
      </c>
      <c r="GY4" t="e">
        <f>AND(#REF!,"AAAAADfy9c4=")</f>
        <v>#REF!</v>
      </c>
      <c r="GZ4" t="e">
        <f>AND(#REF!,"AAAAADfy9c8=")</f>
        <v>#REF!</v>
      </c>
      <c r="HA4" t="e">
        <f>AND(#REF!,"AAAAADfy9dA=")</f>
        <v>#REF!</v>
      </c>
      <c r="HB4" t="e">
        <f>AND(#REF!,"AAAAADfy9dE=")</f>
        <v>#REF!</v>
      </c>
      <c r="HC4" t="e">
        <f>AND(#REF!,"AAAAADfy9dI=")</f>
        <v>#REF!</v>
      </c>
      <c r="HD4" t="e">
        <f>AND(#REF!,"AAAAADfy9dM=")</f>
        <v>#REF!</v>
      </c>
      <c r="HE4" t="e">
        <f>IF(#REF!,"AAAAADfy9dQ=",0)</f>
        <v>#REF!</v>
      </c>
      <c r="HF4" t="e">
        <f>AND(#REF!,"AAAAADfy9dU=")</f>
        <v>#REF!</v>
      </c>
      <c r="HG4" t="e">
        <f>AND(#REF!,"AAAAADfy9dY=")</f>
        <v>#REF!</v>
      </c>
      <c r="HH4" t="e">
        <f>AND(#REF!,"AAAAADfy9dc=")</f>
        <v>#REF!</v>
      </c>
      <c r="HI4" t="e">
        <f>AND(#REF!,"AAAAADfy9dg=")</f>
        <v>#REF!</v>
      </c>
      <c r="HJ4" t="e">
        <f>AND(#REF!,"AAAAADfy9dk=")</f>
        <v>#REF!</v>
      </c>
      <c r="HK4" t="e">
        <f>AND(#REF!,"AAAAADfy9do=")</f>
        <v>#REF!</v>
      </c>
      <c r="HL4" t="e">
        <f>AND(#REF!,"AAAAADfy9ds=")</f>
        <v>#REF!</v>
      </c>
      <c r="HM4" t="e">
        <f>AND(#REF!,"AAAAADfy9dw=")</f>
        <v>#REF!</v>
      </c>
      <c r="HN4" t="e">
        <f>AND(#REF!,"AAAAADfy9d0=")</f>
        <v>#REF!</v>
      </c>
      <c r="HO4" t="e">
        <f>AND(#REF!,"AAAAADfy9d4=")</f>
        <v>#REF!</v>
      </c>
      <c r="HP4" t="e">
        <f>AND(#REF!,"AAAAADfy9d8=")</f>
        <v>#REF!</v>
      </c>
      <c r="HQ4" t="e">
        <f>AND(#REF!,"AAAAADfy9eA=")</f>
        <v>#REF!</v>
      </c>
      <c r="HR4" t="e">
        <f>AND(#REF!,"AAAAADfy9eE=")</f>
        <v>#REF!</v>
      </c>
      <c r="HS4" t="e">
        <f>AND(#REF!,"AAAAADfy9eI=")</f>
        <v>#REF!</v>
      </c>
      <c r="HT4" t="e">
        <f>AND(#REF!,"AAAAADfy9eM=")</f>
        <v>#REF!</v>
      </c>
      <c r="HU4" t="e">
        <f>AND(#REF!,"AAAAADfy9eQ=")</f>
        <v>#REF!</v>
      </c>
      <c r="HV4" t="e">
        <f>AND(#REF!,"AAAAADfy9eU=")</f>
        <v>#REF!</v>
      </c>
      <c r="HW4" t="e">
        <f>AND(#REF!,"AAAAADfy9eY=")</f>
        <v>#REF!</v>
      </c>
      <c r="HX4" t="e">
        <f>AND(#REF!,"AAAAADfy9ec=")</f>
        <v>#REF!</v>
      </c>
      <c r="HY4" t="e">
        <f>IF(#REF!,"AAAAADfy9eg=",0)</f>
        <v>#REF!</v>
      </c>
      <c r="HZ4" t="e">
        <f>AND(#REF!,"AAAAADfy9ek=")</f>
        <v>#REF!</v>
      </c>
      <c r="IA4" t="e">
        <f>AND(#REF!,"AAAAADfy9eo=")</f>
        <v>#REF!</v>
      </c>
      <c r="IB4" t="e">
        <f>AND(#REF!,"AAAAADfy9es=")</f>
        <v>#REF!</v>
      </c>
      <c r="IC4" t="e">
        <f>AND(#REF!,"AAAAADfy9ew=")</f>
        <v>#REF!</v>
      </c>
      <c r="ID4" t="e">
        <f>AND(#REF!,"AAAAADfy9e0=")</f>
        <v>#REF!</v>
      </c>
      <c r="IE4" t="e">
        <f>AND(#REF!,"AAAAADfy9e4=")</f>
        <v>#REF!</v>
      </c>
      <c r="IF4" t="e">
        <f>AND(#REF!,"AAAAADfy9e8=")</f>
        <v>#REF!</v>
      </c>
      <c r="IG4" t="e">
        <f>AND(#REF!,"AAAAADfy9fA=")</f>
        <v>#REF!</v>
      </c>
      <c r="IH4" t="e">
        <f>AND(#REF!,"AAAAADfy9fE=")</f>
        <v>#REF!</v>
      </c>
      <c r="II4" t="e">
        <f>AND(#REF!,"AAAAADfy9fI=")</f>
        <v>#REF!</v>
      </c>
      <c r="IJ4" t="e">
        <f>AND(#REF!,"AAAAADfy9fM=")</f>
        <v>#REF!</v>
      </c>
      <c r="IK4" t="e">
        <f>AND(#REF!,"AAAAADfy9fQ=")</f>
        <v>#REF!</v>
      </c>
      <c r="IL4" t="e">
        <f>AND(#REF!,"AAAAADfy9fU=")</f>
        <v>#REF!</v>
      </c>
      <c r="IM4" t="e">
        <f>AND(#REF!,"AAAAADfy9fY=")</f>
        <v>#REF!</v>
      </c>
      <c r="IN4" t="e">
        <f>AND(#REF!,"AAAAADfy9fc=")</f>
        <v>#REF!</v>
      </c>
      <c r="IO4" t="e">
        <f>AND(#REF!,"AAAAADfy9fg=")</f>
        <v>#REF!</v>
      </c>
      <c r="IP4" t="e">
        <f>AND(#REF!,"AAAAADfy9fk=")</f>
        <v>#REF!</v>
      </c>
      <c r="IQ4" t="e">
        <f>AND(#REF!,"AAAAADfy9fo=")</f>
        <v>#REF!</v>
      </c>
      <c r="IR4" t="e">
        <f>AND(#REF!,"AAAAADfy9fs=")</f>
        <v>#REF!</v>
      </c>
      <c r="IS4" t="e">
        <f>IF(#REF!,"AAAAADfy9fw=",0)</f>
        <v>#REF!</v>
      </c>
      <c r="IT4" t="e">
        <f>AND(#REF!,"AAAAADfy9f0=")</f>
        <v>#REF!</v>
      </c>
      <c r="IU4" t="e">
        <f>AND(#REF!,"AAAAADfy9f4=")</f>
        <v>#REF!</v>
      </c>
      <c r="IV4" t="e">
        <f>AND(#REF!,"AAAAADfy9f8=")</f>
        <v>#REF!</v>
      </c>
    </row>
    <row r="5" spans="1:256" x14ac:dyDescent="0.15">
      <c r="A5" t="e">
        <f>AND(#REF!,"AAAAAHtv5QA=")</f>
        <v>#REF!</v>
      </c>
      <c r="B5" t="e">
        <f>AND(#REF!,"AAAAAHtv5QE=")</f>
        <v>#REF!</v>
      </c>
      <c r="C5" t="e">
        <f>AND(#REF!,"AAAAAHtv5QI=")</f>
        <v>#REF!</v>
      </c>
      <c r="D5" t="e">
        <f>AND(#REF!,"AAAAAHtv5QM=")</f>
        <v>#REF!</v>
      </c>
      <c r="E5" t="e">
        <f>AND(#REF!,"AAAAAHtv5QQ=")</f>
        <v>#REF!</v>
      </c>
      <c r="F5" t="e">
        <f>AND(#REF!,"AAAAAHtv5QU=")</f>
        <v>#REF!</v>
      </c>
      <c r="G5" t="e">
        <f>AND(#REF!,"AAAAAHtv5QY=")</f>
        <v>#REF!</v>
      </c>
      <c r="H5" t="e">
        <f>AND(#REF!,"AAAAAHtv5Qc=")</f>
        <v>#REF!</v>
      </c>
      <c r="I5" t="e">
        <f>AND(#REF!,"AAAAAHtv5Qg=")</f>
        <v>#REF!</v>
      </c>
      <c r="J5" t="e">
        <f>AND(#REF!,"AAAAAHtv5Qk=")</f>
        <v>#REF!</v>
      </c>
      <c r="K5" t="e">
        <f>AND(#REF!,"AAAAAHtv5Qo=")</f>
        <v>#REF!</v>
      </c>
      <c r="L5" t="e">
        <f>AND(#REF!,"AAAAAHtv5Qs=")</f>
        <v>#REF!</v>
      </c>
      <c r="M5" t="e">
        <f>AND(#REF!,"AAAAAHtv5Qw=")</f>
        <v>#REF!</v>
      </c>
      <c r="N5" t="e">
        <f>AND(#REF!,"AAAAAHtv5Q0=")</f>
        <v>#REF!</v>
      </c>
      <c r="O5" t="e">
        <f>AND(#REF!,"AAAAAHtv5Q4=")</f>
        <v>#REF!</v>
      </c>
      <c r="P5" t="e">
        <f>AND(#REF!,"AAAAAHtv5Q8=")</f>
        <v>#REF!</v>
      </c>
      <c r="Q5" t="e">
        <f>IF(#REF!,"AAAAAHtv5RA=",0)</f>
        <v>#REF!</v>
      </c>
      <c r="R5" t="e">
        <f>AND(#REF!,"AAAAAHtv5RE=")</f>
        <v>#REF!</v>
      </c>
      <c r="S5" t="e">
        <f>AND(#REF!,"AAAAAHtv5RI=")</f>
        <v>#REF!</v>
      </c>
      <c r="T5" t="e">
        <f>AND(#REF!,"AAAAAHtv5RM=")</f>
        <v>#REF!</v>
      </c>
      <c r="U5" t="e">
        <f>AND(#REF!,"AAAAAHtv5RQ=")</f>
        <v>#REF!</v>
      </c>
      <c r="V5" t="e">
        <f>AND(#REF!,"AAAAAHtv5RU=")</f>
        <v>#REF!</v>
      </c>
      <c r="W5" t="e">
        <f>AND(#REF!,"AAAAAHtv5RY=")</f>
        <v>#REF!</v>
      </c>
      <c r="X5" t="e">
        <f>AND(#REF!,"AAAAAHtv5Rc=")</f>
        <v>#REF!</v>
      </c>
      <c r="Y5" t="e">
        <f>AND(#REF!,"AAAAAHtv5Rg=")</f>
        <v>#REF!</v>
      </c>
      <c r="Z5" t="e">
        <f>AND(#REF!,"AAAAAHtv5Rk=")</f>
        <v>#REF!</v>
      </c>
      <c r="AA5" t="e">
        <f>AND(#REF!,"AAAAAHtv5Ro=")</f>
        <v>#REF!</v>
      </c>
      <c r="AB5" t="e">
        <f>AND(#REF!,"AAAAAHtv5Rs=")</f>
        <v>#REF!</v>
      </c>
      <c r="AC5" t="e">
        <f>AND(#REF!,"AAAAAHtv5Rw=")</f>
        <v>#REF!</v>
      </c>
      <c r="AD5" t="e">
        <f>AND(#REF!,"AAAAAHtv5R0=")</f>
        <v>#REF!</v>
      </c>
      <c r="AE5" t="e">
        <f>AND(#REF!,"AAAAAHtv5R4=")</f>
        <v>#REF!</v>
      </c>
      <c r="AF5" t="e">
        <f>AND(#REF!,"AAAAAHtv5R8=")</f>
        <v>#REF!</v>
      </c>
      <c r="AG5" t="e">
        <f>AND(#REF!,"AAAAAHtv5SA=")</f>
        <v>#REF!</v>
      </c>
      <c r="AH5" t="e">
        <f>AND(#REF!,"AAAAAHtv5SE=")</f>
        <v>#REF!</v>
      </c>
      <c r="AI5" t="e">
        <f>AND(#REF!,"AAAAAHtv5SI=")</f>
        <v>#REF!</v>
      </c>
      <c r="AJ5" t="e">
        <f>AND(#REF!,"AAAAAHtv5SM=")</f>
        <v>#REF!</v>
      </c>
      <c r="AK5" t="e">
        <f>IF(#REF!,"AAAAAHtv5SQ=",0)</f>
        <v>#REF!</v>
      </c>
      <c r="AL5" t="e">
        <f>AND(#REF!,"AAAAAHtv5SU=")</f>
        <v>#REF!</v>
      </c>
      <c r="AM5" t="e">
        <f>AND(#REF!,"AAAAAHtv5SY=")</f>
        <v>#REF!</v>
      </c>
      <c r="AN5" t="e">
        <f>AND(#REF!,"AAAAAHtv5Sc=")</f>
        <v>#REF!</v>
      </c>
      <c r="AO5" t="e">
        <f>AND(#REF!,"AAAAAHtv5Sg=")</f>
        <v>#REF!</v>
      </c>
      <c r="AP5" t="e">
        <f>AND(#REF!,"AAAAAHtv5Sk=")</f>
        <v>#REF!</v>
      </c>
      <c r="AQ5" t="e">
        <f>AND(#REF!,"AAAAAHtv5So=")</f>
        <v>#REF!</v>
      </c>
      <c r="AR5" t="e">
        <f>AND(#REF!,"AAAAAHtv5Ss=")</f>
        <v>#REF!</v>
      </c>
      <c r="AS5" t="e">
        <f>AND(#REF!,"AAAAAHtv5Sw=")</f>
        <v>#REF!</v>
      </c>
      <c r="AT5" t="e">
        <f>AND(#REF!,"AAAAAHtv5S0=")</f>
        <v>#REF!</v>
      </c>
      <c r="AU5" t="e">
        <f>AND(#REF!,"AAAAAHtv5S4=")</f>
        <v>#REF!</v>
      </c>
      <c r="AV5" t="e">
        <f>AND(#REF!,"AAAAAHtv5S8=")</f>
        <v>#REF!</v>
      </c>
      <c r="AW5" t="e">
        <f>AND(#REF!,"AAAAAHtv5TA=")</f>
        <v>#REF!</v>
      </c>
      <c r="AX5" t="e">
        <f>AND(#REF!,"AAAAAHtv5TE=")</f>
        <v>#REF!</v>
      </c>
      <c r="AY5" t="e">
        <f>AND(#REF!,"AAAAAHtv5TI=")</f>
        <v>#REF!</v>
      </c>
      <c r="AZ5" t="e">
        <f>AND(#REF!,"AAAAAHtv5TM=")</f>
        <v>#REF!</v>
      </c>
      <c r="BA5" t="e">
        <f>AND(#REF!,"AAAAAHtv5TQ=")</f>
        <v>#REF!</v>
      </c>
      <c r="BB5" t="e">
        <f>AND(#REF!,"AAAAAHtv5TU=")</f>
        <v>#REF!</v>
      </c>
      <c r="BC5" t="e">
        <f>AND(#REF!,"AAAAAHtv5TY=")</f>
        <v>#REF!</v>
      </c>
      <c r="BD5" t="e">
        <f>AND(#REF!,"AAAAAHtv5Tc=")</f>
        <v>#REF!</v>
      </c>
      <c r="BE5" t="e">
        <f>IF(#REF!,"AAAAAHtv5Tg=",0)</f>
        <v>#REF!</v>
      </c>
      <c r="BF5" t="e">
        <f>AND(#REF!,"AAAAAHtv5Tk=")</f>
        <v>#REF!</v>
      </c>
      <c r="BG5" t="e">
        <f>AND(#REF!,"AAAAAHtv5To=")</f>
        <v>#REF!</v>
      </c>
      <c r="BH5" t="e">
        <f>AND(#REF!,"AAAAAHtv5Ts=")</f>
        <v>#REF!</v>
      </c>
      <c r="BI5" t="e">
        <f>AND(#REF!,"AAAAAHtv5Tw=")</f>
        <v>#REF!</v>
      </c>
      <c r="BJ5" t="e">
        <f>AND(#REF!,"AAAAAHtv5T0=")</f>
        <v>#REF!</v>
      </c>
      <c r="BK5" t="e">
        <f>AND(#REF!,"AAAAAHtv5T4=")</f>
        <v>#REF!</v>
      </c>
      <c r="BL5" t="e">
        <f>AND(#REF!,"AAAAAHtv5T8=")</f>
        <v>#REF!</v>
      </c>
      <c r="BM5" t="e">
        <f>AND(#REF!,"AAAAAHtv5UA=")</f>
        <v>#REF!</v>
      </c>
      <c r="BN5" t="e">
        <f>AND(#REF!,"AAAAAHtv5UE=")</f>
        <v>#REF!</v>
      </c>
      <c r="BO5" t="e">
        <f>AND(#REF!,"AAAAAHtv5UI=")</f>
        <v>#REF!</v>
      </c>
      <c r="BP5" t="e">
        <f>AND(#REF!,"AAAAAHtv5UM=")</f>
        <v>#REF!</v>
      </c>
      <c r="BQ5" t="e">
        <f>AND(#REF!,"AAAAAHtv5UQ=")</f>
        <v>#REF!</v>
      </c>
      <c r="BR5" t="e">
        <f>AND(#REF!,"AAAAAHtv5UU=")</f>
        <v>#REF!</v>
      </c>
      <c r="BS5" t="e">
        <f>AND(#REF!,"AAAAAHtv5UY=")</f>
        <v>#REF!</v>
      </c>
      <c r="BT5" t="e">
        <f>AND(#REF!,"AAAAAHtv5Uc=")</f>
        <v>#REF!</v>
      </c>
      <c r="BU5" t="e">
        <f>AND(#REF!,"AAAAAHtv5Ug=")</f>
        <v>#REF!</v>
      </c>
      <c r="BV5" t="e">
        <f>AND(#REF!,"AAAAAHtv5Uk=")</f>
        <v>#REF!</v>
      </c>
      <c r="BW5" t="e">
        <f>AND(#REF!,"AAAAAHtv5Uo=")</f>
        <v>#REF!</v>
      </c>
      <c r="BX5" t="e">
        <f>AND(#REF!,"AAAAAHtv5Us=")</f>
        <v>#REF!</v>
      </c>
      <c r="BY5" t="e">
        <f>IF(#REF!,"AAAAAHtv5Uw=",0)</f>
        <v>#REF!</v>
      </c>
      <c r="BZ5" t="e">
        <f>AND(#REF!,"AAAAAHtv5U0=")</f>
        <v>#REF!</v>
      </c>
      <c r="CA5" t="e">
        <f>AND(#REF!,"AAAAAHtv5U4=")</f>
        <v>#REF!</v>
      </c>
      <c r="CB5" t="e">
        <f>AND(#REF!,"AAAAAHtv5U8=")</f>
        <v>#REF!</v>
      </c>
      <c r="CC5" t="e">
        <f>AND(#REF!,"AAAAAHtv5VA=")</f>
        <v>#REF!</v>
      </c>
      <c r="CD5" t="e">
        <f>AND(#REF!,"AAAAAHtv5VE=")</f>
        <v>#REF!</v>
      </c>
      <c r="CE5" t="e">
        <f>AND(#REF!,"AAAAAHtv5VI=")</f>
        <v>#REF!</v>
      </c>
      <c r="CF5" t="e">
        <f>AND(#REF!,"AAAAAHtv5VM=")</f>
        <v>#REF!</v>
      </c>
      <c r="CG5" t="e">
        <f>AND(#REF!,"AAAAAHtv5VQ=")</f>
        <v>#REF!</v>
      </c>
      <c r="CH5" t="e">
        <f>AND(#REF!,"AAAAAHtv5VU=")</f>
        <v>#REF!</v>
      </c>
      <c r="CI5" t="e">
        <f>AND(#REF!,"AAAAAHtv5VY=")</f>
        <v>#REF!</v>
      </c>
      <c r="CJ5" t="e">
        <f>AND(#REF!,"AAAAAHtv5Vc=")</f>
        <v>#REF!</v>
      </c>
      <c r="CK5" t="e">
        <f>AND(#REF!,"AAAAAHtv5Vg=")</f>
        <v>#REF!</v>
      </c>
      <c r="CL5" t="e">
        <f>AND(#REF!,"AAAAAHtv5Vk=")</f>
        <v>#REF!</v>
      </c>
      <c r="CM5" t="e">
        <f>AND(#REF!,"AAAAAHtv5Vo=")</f>
        <v>#REF!</v>
      </c>
      <c r="CN5" t="e">
        <f>AND(#REF!,"AAAAAHtv5Vs=")</f>
        <v>#REF!</v>
      </c>
      <c r="CO5" t="e">
        <f>AND(#REF!,"AAAAAHtv5Vw=")</f>
        <v>#REF!</v>
      </c>
      <c r="CP5" t="e">
        <f>AND(#REF!,"AAAAAHtv5V0=")</f>
        <v>#REF!</v>
      </c>
      <c r="CQ5" t="e">
        <f>AND(#REF!,"AAAAAHtv5V4=")</f>
        <v>#REF!</v>
      </c>
      <c r="CR5" t="e">
        <f>AND(#REF!,"AAAAAHtv5V8=")</f>
        <v>#REF!</v>
      </c>
      <c r="CS5" t="e">
        <f>IF(#REF!,"AAAAAHtv5WA=",0)</f>
        <v>#REF!</v>
      </c>
      <c r="CT5" t="e">
        <f>AND(#REF!,"AAAAAHtv5WE=")</f>
        <v>#REF!</v>
      </c>
      <c r="CU5" t="e">
        <f>AND(#REF!,"AAAAAHtv5WI=")</f>
        <v>#REF!</v>
      </c>
      <c r="CV5" t="e">
        <f>AND(#REF!,"AAAAAHtv5WM=")</f>
        <v>#REF!</v>
      </c>
      <c r="CW5" t="e">
        <f>AND(#REF!,"AAAAAHtv5WQ=")</f>
        <v>#REF!</v>
      </c>
      <c r="CX5" t="e">
        <f>AND(#REF!,"AAAAAHtv5WU=")</f>
        <v>#REF!</v>
      </c>
      <c r="CY5" t="e">
        <f>AND(#REF!,"AAAAAHtv5WY=")</f>
        <v>#REF!</v>
      </c>
      <c r="CZ5" t="e">
        <f>AND(#REF!,"AAAAAHtv5Wc=")</f>
        <v>#REF!</v>
      </c>
      <c r="DA5" t="e">
        <f>AND(#REF!,"AAAAAHtv5Wg=")</f>
        <v>#REF!</v>
      </c>
      <c r="DB5" t="e">
        <f>AND(#REF!,"AAAAAHtv5Wk=")</f>
        <v>#REF!</v>
      </c>
      <c r="DC5" t="e">
        <f>AND(#REF!,"AAAAAHtv5Wo=")</f>
        <v>#REF!</v>
      </c>
      <c r="DD5" t="e">
        <f>AND(#REF!,"AAAAAHtv5Ws=")</f>
        <v>#REF!</v>
      </c>
      <c r="DE5" t="e">
        <f>AND(#REF!,"AAAAAHtv5Ww=")</f>
        <v>#REF!</v>
      </c>
      <c r="DF5" t="e">
        <f>AND(#REF!,"AAAAAHtv5W0=")</f>
        <v>#REF!</v>
      </c>
      <c r="DG5" t="e">
        <f>AND(#REF!,"AAAAAHtv5W4=")</f>
        <v>#REF!</v>
      </c>
      <c r="DH5" t="e">
        <f>AND(#REF!,"AAAAAHtv5W8=")</f>
        <v>#REF!</v>
      </c>
      <c r="DI5" t="e">
        <f>AND(#REF!,"AAAAAHtv5XA=")</f>
        <v>#REF!</v>
      </c>
      <c r="DJ5" t="e">
        <f>AND(#REF!,"AAAAAHtv5XE=")</f>
        <v>#REF!</v>
      </c>
      <c r="DK5" t="e">
        <f>AND(#REF!,"AAAAAHtv5XI=")</f>
        <v>#REF!</v>
      </c>
      <c r="DL5" t="e">
        <f>AND(#REF!,"AAAAAHtv5XM=")</f>
        <v>#REF!</v>
      </c>
      <c r="DM5" t="e">
        <f>IF(#REF!,"AAAAAHtv5XQ=",0)</f>
        <v>#REF!</v>
      </c>
      <c r="DN5" t="e">
        <f>AND(#REF!,"AAAAAHtv5XU=")</f>
        <v>#REF!</v>
      </c>
      <c r="DO5" t="e">
        <f>AND(#REF!,"AAAAAHtv5XY=")</f>
        <v>#REF!</v>
      </c>
      <c r="DP5" t="e">
        <f>AND(#REF!,"AAAAAHtv5Xc=")</f>
        <v>#REF!</v>
      </c>
      <c r="DQ5" t="e">
        <f>AND(#REF!,"AAAAAHtv5Xg=")</f>
        <v>#REF!</v>
      </c>
      <c r="DR5" t="e">
        <f>AND(#REF!,"AAAAAHtv5Xk=")</f>
        <v>#REF!</v>
      </c>
      <c r="DS5" t="e">
        <f>AND(#REF!,"AAAAAHtv5Xo=")</f>
        <v>#REF!</v>
      </c>
      <c r="DT5" t="e">
        <f>AND(#REF!,"AAAAAHtv5Xs=")</f>
        <v>#REF!</v>
      </c>
      <c r="DU5" t="e">
        <f>AND(#REF!,"AAAAAHtv5Xw=")</f>
        <v>#REF!</v>
      </c>
      <c r="DV5" t="e">
        <f>AND(#REF!,"AAAAAHtv5X0=")</f>
        <v>#REF!</v>
      </c>
      <c r="DW5" t="e">
        <f>AND(#REF!,"AAAAAHtv5X4=")</f>
        <v>#REF!</v>
      </c>
      <c r="DX5" t="e">
        <f>AND(#REF!,"AAAAAHtv5X8=")</f>
        <v>#REF!</v>
      </c>
      <c r="DY5" t="e">
        <f>AND(#REF!,"AAAAAHtv5YA=")</f>
        <v>#REF!</v>
      </c>
      <c r="DZ5" t="e">
        <f>AND(#REF!,"AAAAAHtv5YE=")</f>
        <v>#REF!</v>
      </c>
      <c r="EA5" t="e">
        <f>AND(#REF!,"AAAAAHtv5YI=")</f>
        <v>#REF!</v>
      </c>
      <c r="EB5" t="e">
        <f>AND(#REF!,"AAAAAHtv5YM=")</f>
        <v>#REF!</v>
      </c>
      <c r="EC5" t="e">
        <f>AND(#REF!,"AAAAAHtv5YQ=")</f>
        <v>#REF!</v>
      </c>
      <c r="ED5" t="e">
        <f>AND(#REF!,"AAAAAHtv5YU=")</f>
        <v>#REF!</v>
      </c>
      <c r="EE5" t="e">
        <f>AND(#REF!,"AAAAAHtv5YY=")</f>
        <v>#REF!</v>
      </c>
      <c r="EF5" t="e">
        <f>AND(#REF!,"AAAAAHtv5Yc=")</f>
        <v>#REF!</v>
      </c>
      <c r="EG5" t="e">
        <f>IF(#REF!,"AAAAAHtv5Yg=",0)</f>
        <v>#REF!</v>
      </c>
      <c r="EH5" t="e">
        <f>AND(#REF!,"AAAAAHtv5Yk=")</f>
        <v>#REF!</v>
      </c>
      <c r="EI5" t="e">
        <f>AND(#REF!,"AAAAAHtv5Yo=")</f>
        <v>#REF!</v>
      </c>
      <c r="EJ5" t="e">
        <f>AND(#REF!,"AAAAAHtv5Ys=")</f>
        <v>#REF!</v>
      </c>
      <c r="EK5" t="e">
        <f>AND(#REF!,"AAAAAHtv5Yw=")</f>
        <v>#REF!</v>
      </c>
      <c r="EL5" t="e">
        <f>AND(#REF!,"AAAAAHtv5Y0=")</f>
        <v>#REF!</v>
      </c>
      <c r="EM5" t="e">
        <f>AND(#REF!,"AAAAAHtv5Y4=")</f>
        <v>#REF!</v>
      </c>
      <c r="EN5" t="e">
        <f>AND(#REF!,"AAAAAHtv5Y8=")</f>
        <v>#REF!</v>
      </c>
      <c r="EO5" t="e">
        <f>AND(#REF!,"AAAAAHtv5ZA=")</f>
        <v>#REF!</v>
      </c>
      <c r="EP5" t="e">
        <f>AND(#REF!,"AAAAAHtv5ZE=")</f>
        <v>#REF!</v>
      </c>
      <c r="EQ5" t="e">
        <f>AND(#REF!,"AAAAAHtv5ZI=")</f>
        <v>#REF!</v>
      </c>
      <c r="ER5" t="e">
        <f>AND(#REF!,"AAAAAHtv5ZM=")</f>
        <v>#REF!</v>
      </c>
      <c r="ES5" t="e">
        <f>AND(#REF!,"AAAAAHtv5ZQ=")</f>
        <v>#REF!</v>
      </c>
      <c r="ET5" t="e">
        <f>AND(#REF!,"AAAAAHtv5ZU=")</f>
        <v>#REF!</v>
      </c>
      <c r="EU5" t="e">
        <f>AND(#REF!,"AAAAAHtv5ZY=")</f>
        <v>#REF!</v>
      </c>
      <c r="EV5" t="e">
        <f>AND(#REF!,"AAAAAHtv5Zc=")</f>
        <v>#REF!</v>
      </c>
      <c r="EW5" t="e">
        <f>AND(#REF!,"AAAAAHtv5Zg=")</f>
        <v>#REF!</v>
      </c>
      <c r="EX5" t="e">
        <f>AND(#REF!,"AAAAAHtv5Zk=")</f>
        <v>#REF!</v>
      </c>
      <c r="EY5" t="e">
        <f>AND(#REF!,"AAAAAHtv5Zo=")</f>
        <v>#REF!</v>
      </c>
      <c r="EZ5" t="e">
        <f>AND(#REF!,"AAAAAHtv5Zs=")</f>
        <v>#REF!</v>
      </c>
      <c r="FA5" t="e">
        <f>IF(#REF!,"AAAAAHtv5Zw=",0)</f>
        <v>#REF!</v>
      </c>
      <c r="FB5" t="e">
        <f>AND(#REF!,"AAAAAHtv5Z0=")</f>
        <v>#REF!</v>
      </c>
      <c r="FC5" t="e">
        <f>AND(#REF!,"AAAAAHtv5Z4=")</f>
        <v>#REF!</v>
      </c>
      <c r="FD5" t="e">
        <f>AND(#REF!,"AAAAAHtv5Z8=")</f>
        <v>#REF!</v>
      </c>
      <c r="FE5" t="e">
        <f>AND(#REF!,"AAAAAHtv5aA=")</f>
        <v>#REF!</v>
      </c>
      <c r="FF5" t="e">
        <f>AND(#REF!,"AAAAAHtv5aE=")</f>
        <v>#REF!</v>
      </c>
      <c r="FG5" t="e">
        <f>AND(#REF!,"AAAAAHtv5aI=")</f>
        <v>#REF!</v>
      </c>
      <c r="FH5" t="e">
        <f>AND(#REF!,"AAAAAHtv5aM=")</f>
        <v>#REF!</v>
      </c>
      <c r="FI5" t="e">
        <f>AND(#REF!,"AAAAAHtv5aQ=")</f>
        <v>#REF!</v>
      </c>
      <c r="FJ5" t="e">
        <f>AND(#REF!,"AAAAAHtv5aU=")</f>
        <v>#REF!</v>
      </c>
      <c r="FK5" t="e">
        <f>AND(#REF!,"AAAAAHtv5aY=")</f>
        <v>#REF!</v>
      </c>
      <c r="FL5" t="e">
        <f>AND(#REF!,"AAAAAHtv5ac=")</f>
        <v>#REF!</v>
      </c>
      <c r="FM5" t="e">
        <f>AND(#REF!,"AAAAAHtv5ag=")</f>
        <v>#REF!</v>
      </c>
      <c r="FN5" t="e">
        <f>AND(#REF!,"AAAAAHtv5ak=")</f>
        <v>#REF!</v>
      </c>
      <c r="FO5" t="e">
        <f>AND(#REF!,"AAAAAHtv5ao=")</f>
        <v>#REF!</v>
      </c>
      <c r="FP5" t="e">
        <f>AND(#REF!,"AAAAAHtv5as=")</f>
        <v>#REF!</v>
      </c>
      <c r="FQ5" t="e">
        <f>AND(#REF!,"AAAAAHtv5aw=")</f>
        <v>#REF!</v>
      </c>
      <c r="FR5" t="e">
        <f>AND(#REF!,"AAAAAHtv5a0=")</f>
        <v>#REF!</v>
      </c>
      <c r="FS5" t="e">
        <f>AND(#REF!,"AAAAAHtv5a4=")</f>
        <v>#REF!</v>
      </c>
      <c r="FT5" t="e">
        <f>AND(#REF!,"AAAAAHtv5a8=")</f>
        <v>#REF!</v>
      </c>
      <c r="FU5" t="e">
        <f>IF(#REF!,"AAAAAHtv5bA=",0)</f>
        <v>#REF!</v>
      </c>
      <c r="FV5" t="e">
        <f>AND(#REF!,"AAAAAHtv5bE=")</f>
        <v>#REF!</v>
      </c>
      <c r="FW5" t="e">
        <f>AND(#REF!,"AAAAAHtv5bI=")</f>
        <v>#REF!</v>
      </c>
      <c r="FX5" t="e">
        <f>AND(#REF!,"AAAAAHtv5bM=")</f>
        <v>#REF!</v>
      </c>
      <c r="FY5" t="e">
        <f>AND(#REF!,"AAAAAHtv5bQ=")</f>
        <v>#REF!</v>
      </c>
      <c r="FZ5" t="e">
        <f>AND(#REF!,"AAAAAHtv5bU=")</f>
        <v>#REF!</v>
      </c>
      <c r="GA5" t="e">
        <f>AND(#REF!,"AAAAAHtv5bY=")</f>
        <v>#REF!</v>
      </c>
      <c r="GB5" t="e">
        <f>AND(#REF!,"AAAAAHtv5bc=")</f>
        <v>#REF!</v>
      </c>
      <c r="GC5" t="e">
        <f>AND(#REF!,"AAAAAHtv5bg=")</f>
        <v>#REF!</v>
      </c>
      <c r="GD5" t="e">
        <f>AND(#REF!,"AAAAAHtv5bk=")</f>
        <v>#REF!</v>
      </c>
      <c r="GE5" t="e">
        <f>AND(#REF!,"AAAAAHtv5bo=")</f>
        <v>#REF!</v>
      </c>
      <c r="GF5" t="e">
        <f>AND(#REF!,"AAAAAHtv5bs=")</f>
        <v>#REF!</v>
      </c>
      <c r="GG5" t="e">
        <f>AND(#REF!,"AAAAAHtv5bw=")</f>
        <v>#REF!</v>
      </c>
      <c r="GH5" t="e">
        <f>AND(#REF!,"AAAAAHtv5b0=")</f>
        <v>#REF!</v>
      </c>
      <c r="GI5" t="e">
        <f>AND(#REF!,"AAAAAHtv5b4=")</f>
        <v>#REF!</v>
      </c>
      <c r="GJ5" t="e">
        <f>AND(#REF!,"AAAAAHtv5b8=")</f>
        <v>#REF!</v>
      </c>
      <c r="GK5" t="e">
        <f>AND(#REF!,"AAAAAHtv5cA=")</f>
        <v>#REF!</v>
      </c>
      <c r="GL5" t="e">
        <f>AND(#REF!,"AAAAAHtv5cE=")</f>
        <v>#REF!</v>
      </c>
      <c r="GM5" t="e">
        <f>AND(#REF!,"AAAAAHtv5cI=")</f>
        <v>#REF!</v>
      </c>
      <c r="GN5" t="e">
        <f>AND(#REF!,"AAAAAHtv5cM=")</f>
        <v>#REF!</v>
      </c>
      <c r="GO5" t="e">
        <f>IF(#REF!,"AAAAAHtv5cQ=",0)</f>
        <v>#REF!</v>
      </c>
      <c r="GP5" t="e">
        <f>AND(#REF!,"AAAAAHtv5cU=")</f>
        <v>#REF!</v>
      </c>
      <c r="GQ5" t="e">
        <f>AND(#REF!,"AAAAAHtv5cY=")</f>
        <v>#REF!</v>
      </c>
      <c r="GR5" t="e">
        <f>AND(#REF!,"AAAAAHtv5cc=")</f>
        <v>#REF!</v>
      </c>
      <c r="GS5" t="e">
        <f>AND(#REF!,"AAAAAHtv5cg=")</f>
        <v>#REF!</v>
      </c>
      <c r="GT5" t="e">
        <f>AND(#REF!,"AAAAAHtv5ck=")</f>
        <v>#REF!</v>
      </c>
      <c r="GU5" t="e">
        <f>AND(#REF!,"AAAAAHtv5co=")</f>
        <v>#REF!</v>
      </c>
      <c r="GV5" t="e">
        <f>AND(#REF!,"AAAAAHtv5cs=")</f>
        <v>#REF!</v>
      </c>
      <c r="GW5" t="e">
        <f>AND(#REF!,"AAAAAHtv5cw=")</f>
        <v>#REF!</v>
      </c>
      <c r="GX5" t="e">
        <f>AND(#REF!,"AAAAAHtv5c0=")</f>
        <v>#REF!</v>
      </c>
      <c r="GY5" t="e">
        <f>AND(#REF!,"AAAAAHtv5c4=")</f>
        <v>#REF!</v>
      </c>
      <c r="GZ5" t="e">
        <f>AND(#REF!,"AAAAAHtv5c8=")</f>
        <v>#REF!</v>
      </c>
      <c r="HA5" t="e">
        <f>AND(#REF!,"AAAAAHtv5dA=")</f>
        <v>#REF!</v>
      </c>
      <c r="HB5" t="e">
        <f>AND(#REF!,"AAAAAHtv5dE=")</f>
        <v>#REF!</v>
      </c>
      <c r="HC5" t="e">
        <f>AND(#REF!,"AAAAAHtv5dI=")</f>
        <v>#REF!</v>
      </c>
      <c r="HD5" t="e">
        <f>AND(#REF!,"AAAAAHtv5dM=")</f>
        <v>#REF!</v>
      </c>
      <c r="HE5" t="e">
        <f>AND(#REF!,"AAAAAHtv5dQ=")</f>
        <v>#REF!</v>
      </c>
      <c r="HF5" t="e">
        <f>AND(#REF!,"AAAAAHtv5dU=")</f>
        <v>#REF!</v>
      </c>
      <c r="HG5" t="e">
        <f>AND(#REF!,"AAAAAHtv5dY=")</f>
        <v>#REF!</v>
      </c>
      <c r="HH5" t="e">
        <f>AND(#REF!,"AAAAAHtv5dc=")</f>
        <v>#REF!</v>
      </c>
      <c r="HI5" t="e">
        <f>IF(#REF!,"AAAAAHtv5dg=",0)</f>
        <v>#REF!</v>
      </c>
      <c r="HJ5" t="e">
        <f>AND(#REF!,"AAAAAHtv5dk=")</f>
        <v>#REF!</v>
      </c>
      <c r="HK5" t="e">
        <f>AND(#REF!,"AAAAAHtv5do=")</f>
        <v>#REF!</v>
      </c>
      <c r="HL5" t="e">
        <f>AND(#REF!,"AAAAAHtv5ds=")</f>
        <v>#REF!</v>
      </c>
      <c r="HM5" t="e">
        <f>AND(#REF!,"AAAAAHtv5dw=")</f>
        <v>#REF!</v>
      </c>
      <c r="HN5" t="e">
        <f>AND(#REF!,"AAAAAHtv5d0=")</f>
        <v>#REF!</v>
      </c>
      <c r="HO5" t="e">
        <f>AND(#REF!,"AAAAAHtv5d4=")</f>
        <v>#REF!</v>
      </c>
      <c r="HP5" t="e">
        <f>AND(#REF!,"AAAAAHtv5d8=")</f>
        <v>#REF!</v>
      </c>
      <c r="HQ5" t="e">
        <f>AND(#REF!,"AAAAAHtv5eA=")</f>
        <v>#REF!</v>
      </c>
      <c r="HR5" t="e">
        <f>AND(#REF!,"AAAAAHtv5eE=")</f>
        <v>#REF!</v>
      </c>
      <c r="HS5" t="e">
        <f>AND(#REF!,"AAAAAHtv5eI=")</f>
        <v>#REF!</v>
      </c>
      <c r="HT5" t="e">
        <f>AND(#REF!,"AAAAAHtv5eM=")</f>
        <v>#REF!</v>
      </c>
      <c r="HU5" t="e">
        <f>AND(#REF!,"AAAAAHtv5eQ=")</f>
        <v>#REF!</v>
      </c>
      <c r="HV5" t="e">
        <f>AND(#REF!,"AAAAAHtv5eU=")</f>
        <v>#REF!</v>
      </c>
      <c r="HW5" t="e">
        <f>AND(#REF!,"AAAAAHtv5eY=")</f>
        <v>#REF!</v>
      </c>
      <c r="HX5" t="e">
        <f>AND(#REF!,"AAAAAHtv5ec=")</f>
        <v>#REF!</v>
      </c>
      <c r="HY5" t="e">
        <f>AND(#REF!,"AAAAAHtv5eg=")</f>
        <v>#REF!</v>
      </c>
      <c r="HZ5" t="e">
        <f>AND(#REF!,"AAAAAHtv5ek=")</f>
        <v>#REF!</v>
      </c>
      <c r="IA5" t="e">
        <f>AND(#REF!,"AAAAAHtv5eo=")</f>
        <v>#REF!</v>
      </c>
      <c r="IB5" t="e">
        <f>AND(#REF!,"AAAAAHtv5es=")</f>
        <v>#REF!</v>
      </c>
      <c r="IC5" t="e">
        <f>IF(#REF!,"AAAAAHtv5ew=",0)</f>
        <v>#REF!</v>
      </c>
      <c r="ID5" t="e">
        <f>AND(#REF!,"AAAAAHtv5e0=")</f>
        <v>#REF!</v>
      </c>
      <c r="IE5" t="e">
        <f>AND(#REF!,"AAAAAHtv5e4=")</f>
        <v>#REF!</v>
      </c>
      <c r="IF5" t="e">
        <f>AND(#REF!,"AAAAAHtv5e8=")</f>
        <v>#REF!</v>
      </c>
      <c r="IG5" t="e">
        <f>AND(#REF!,"AAAAAHtv5fA=")</f>
        <v>#REF!</v>
      </c>
      <c r="IH5" t="e">
        <f>AND(#REF!,"AAAAAHtv5fE=")</f>
        <v>#REF!</v>
      </c>
      <c r="II5" t="e">
        <f>AND(#REF!,"AAAAAHtv5fI=")</f>
        <v>#REF!</v>
      </c>
      <c r="IJ5" t="e">
        <f>AND(#REF!,"AAAAAHtv5fM=")</f>
        <v>#REF!</v>
      </c>
      <c r="IK5" t="e">
        <f>AND(#REF!,"AAAAAHtv5fQ=")</f>
        <v>#REF!</v>
      </c>
      <c r="IL5" t="e">
        <f>AND(#REF!,"AAAAAHtv5fU=")</f>
        <v>#REF!</v>
      </c>
      <c r="IM5" t="e">
        <f>AND(#REF!,"AAAAAHtv5fY=")</f>
        <v>#REF!</v>
      </c>
      <c r="IN5" t="e">
        <f>AND(#REF!,"AAAAAHtv5fc=")</f>
        <v>#REF!</v>
      </c>
      <c r="IO5" t="e">
        <f>AND(#REF!,"AAAAAHtv5fg=")</f>
        <v>#REF!</v>
      </c>
      <c r="IP5" t="e">
        <f>AND(#REF!,"AAAAAHtv5fk=")</f>
        <v>#REF!</v>
      </c>
      <c r="IQ5" t="e">
        <f>AND(#REF!,"AAAAAHtv5fo=")</f>
        <v>#REF!</v>
      </c>
      <c r="IR5" t="e">
        <f>AND(#REF!,"AAAAAHtv5fs=")</f>
        <v>#REF!</v>
      </c>
      <c r="IS5" t="e">
        <f>AND(#REF!,"AAAAAHtv5fw=")</f>
        <v>#REF!</v>
      </c>
      <c r="IT5" t="e">
        <f>AND(#REF!,"AAAAAHtv5f0=")</f>
        <v>#REF!</v>
      </c>
      <c r="IU5" t="e">
        <f>AND(#REF!,"AAAAAHtv5f4=")</f>
        <v>#REF!</v>
      </c>
      <c r="IV5" t="e">
        <f>AND(#REF!,"AAAAAHtv5f8=")</f>
        <v>#REF!</v>
      </c>
    </row>
    <row r="6" spans="1:256" x14ac:dyDescent="0.15">
      <c r="A6" t="e">
        <f>IF(#REF!,"AAAAAC/33gA=",0)</f>
        <v>#REF!</v>
      </c>
      <c r="B6" t="e">
        <f>AND(#REF!,"AAAAAC/33gE=")</f>
        <v>#REF!</v>
      </c>
      <c r="C6" t="e">
        <f>AND(#REF!,"AAAAAC/33gI=")</f>
        <v>#REF!</v>
      </c>
      <c r="D6" t="e">
        <f>AND(#REF!,"AAAAAC/33gM=")</f>
        <v>#REF!</v>
      </c>
      <c r="E6" t="e">
        <f>AND(#REF!,"AAAAAC/33gQ=")</f>
        <v>#REF!</v>
      </c>
      <c r="F6" t="e">
        <f>AND(#REF!,"AAAAAC/33gU=")</f>
        <v>#REF!</v>
      </c>
      <c r="G6" t="e">
        <f>AND(#REF!,"AAAAAC/33gY=")</f>
        <v>#REF!</v>
      </c>
      <c r="H6" t="e">
        <f>AND(#REF!,"AAAAAC/33gc=")</f>
        <v>#REF!</v>
      </c>
      <c r="I6" t="e">
        <f>AND(#REF!,"AAAAAC/33gg=")</f>
        <v>#REF!</v>
      </c>
      <c r="J6" t="e">
        <f>AND(#REF!,"AAAAAC/33gk=")</f>
        <v>#REF!</v>
      </c>
      <c r="K6" t="e">
        <f>AND(#REF!,"AAAAAC/33go=")</f>
        <v>#REF!</v>
      </c>
      <c r="L6" t="e">
        <f>AND(#REF!,"AAAAAC/33gs=")</f>
        <v>#REF!</v>
      </c>
      <c r="M6" t="e">
        <f>AND(#REF!,"AAAAAC/33gw=")</f>
        <v>#REF!</v>
      </c>
      <c r="N6" t="e">
        <f>AND(#REF!,"AAAAAC/33g0=")</f>
        <v>#REF!</v>
      </c>
      <c r="O6" t="e">
        <f>AND(#REF!,"AAAAAC/33g4=")</f>
        <v>#REF!</v>
      </c>
      <c r="P6" t="e">
        <f>AND(#REF!,"AAAAAC/33g8=")</f>
        <v>#REF!</v>
      </c>
      <c r="Q6" t="e">
        <f>AND(#REF!,"AAAAAC/33hA=")</f>
        <v>#REF!</v>
      </c>
      <c r="R6" t="e">
        <f>AND(#REF!,"AAAAAC/33hE=")</f>
        <v>#REF!</v>
      </c>
      <c r="S6" t="e">
        <f>AND(#REF!,"AAAAAC/33hI=")</f>
        <v>#REF!</v>
      </c>
      <c r="T6" t="e">
        <f>AND(#REF!,"AAAAAC/33hM=")</f>
        <v>#REF!</v>
      </c>
      <c r="U6" t="e">
        <f>IF(#REF!,"AAAAAC/33hQ=",0)</f>
        <v>#REF!</v>
      </c>
      <c r="V6" t="e">
        <f>AND(#REF!,"AAAAAC/33hU=")</f>
        <v>#REF!</v>
      </c>
      <c r="W6" t="e">
        <f>AND(#REF!,"AAAAAC/33hY=")</f>
        <v>#REF!</v>
      </c>
      <c r="X6" t="e">
        <f>AND(#REF!,"AAAAAC/33hc=")</f>
        <v>#REF!</v>
      </c>
      <c r="Y6" t="e">
        <f>AND(#REF!,"AAAAAC/33hg=")</f>
        <v>#REF!</v>
      </c>
      <c r="Z6" t="e">
        <f>AND(#REF!,"AAAAAC/33hk=")</f>
        <v>#REF!</v>
      </c>
      <c r="AA6" t="e">
        <f>AND(#REF!,"AAAAAC/33ho=")</f>
        <v>#REF!</v>
      </c>
      <c r="AB6" t="e">
        <f>AND(#REF!,"AAAAAC/33hs=")</f>
        <v>#REF!</v>
      </c>
      <c r="AC6" t="e">
        <f>AND(#REF!,"AAAAAC/33hw=")</f>
        <v>#REF!</v>
      </c>
      <c r="AD6" t="e">
        <f>AND(#REF!,"AAAAAC/33h0=")</f>
        <v>#REF!</v>
      </c>
      <c r="AE6" t="e">
        <f>AND(#REF!,"AAAAAC/33h4=")</f>
        <v>#REF!</v>
      </c>
      <c r="AF6" t="e">
        <f>AND(#REF!,"AAAAAC/33h8=")</f>
        <v>#REF!</v>
      </c>
      <c r="AG6" t="e">
        <f>AND(#REF!,"AAAAAC/33iA=")</f>
        <v>#REF!</v>
      </c>
      <c r="AH6" t="e">
        <f>AND(#REF!,"AAAAAC/33iE=")</f>
        <v>#REF!</v>
      </c>
      <c r="AI6" t="e">
        <f>AND(#REF!,"AAAAAC/33iI=")</f>
        <v>#REF!</v>
      </c>
      <c r="AJ6" t="e">
        <f>AND(#REF!,"AAAAAC/33iM=")</f>
        <v>#REF!</v>
      </c>
      <c r="AK6" t="e">
        <f>AND(#REF!,"AAAAAC/33iQ=")</f>
        <v>#REF!</v>
      </c>
      <c r="AL6" t="e">
        <f>AND(#REF!,"AAAAAC/33iU=")</f>
        <v>#REF!</v>
      </c>
      <c r="AM6" t="e">
        <f>AND(#REF!,"AAAAAC/33iY=")</f>
        <v>#REF!</v>
      </c>
      <c r="AN6" t="e">
        <f>AND(#REF!,"AAAAAC/33ic=")</f>
        <v>#REF!</v>
      </c>
      <c r="AO6" t="e">
        <f>IF(#REF!,"AAAAAC/33ig=",0)</f>
        <v>#REF!</v>
      </c>
      <c r="AP6" t="e">
        <f>AND(#REF!,"AAAAAC/33ik=")</f>
        <v>#REF!</v>
      </c>
      <c r="AQ6" t="e">
        <f>AND(#REF!,"AAAAAC/33io=")</f>
        <v>#REF!</v>
      </c>
      <c r="AR6" t="e">
        <f>AND(#REF!,"AAAAAC/33is=")</f>
        <v>#REF!</v>
      </c>
      <c r="AS6" t="e">
        <f>AND(#REF!,"AAAAAC/33iw=")</f>
        <v>#REF!</v>
      </c>
      <c r="AT6" t="e">
        <f>AND(#REF!,"AAAAAC/33i0=")</f>
        <v>#REF!</v>
      </c>
      <c r="AU6" t="e">
        <f>AND(#REF!,"AAAAAC/33i4=")</f>
        <v>#REF!</v>
      </c>
      <c r="AV6" t="e">
        <f>AND(#REF!,"AAAAAC/33i8=")</f>
        <v>#REF!</v>
      </c>
      <c r="AW6" t="e">
        <f>AND(#REF!,"AAAAAC/33jA=")</f>
        <v>#REF!</v>
      </c>
      <c r="AX6" t="e">
        <f>AND(#REF!,"AAAAAC/33jE=")</f>
        <v>#REF!</v>
      </c>
      <c r="AY6" t="e">
        <f>AND(#REF!,"AAAAAC/33jI=")</f>
        <v>#REF!</v>
      </c>
      <c r="AZ6" t="e">
        <f>AND(#REF!,"AAAAAC/33jM=")</f>
        <v>#REF!</v>
      </c>
      <c r="BA6" t="e">
        <f>AND(#REF!,"AAAAAC/33jQ=")</f>
        <v>#REF!</v>
      </c>
      <c r="BB6" t="e">
        <f>AND(#REF!,"AAAAAC/33jU=")</f>
        <v>#REF!</v>
      </c>
      <c r="BC6" t="e">
        <f>AND(#REF!,"AAAAAC/33jY=")</f>
        <v>#REF!</v>
      </c>
      <c r="BD6" t="e">
        <f>AND(#REF!,"AAAAAC/33jc=")</f>
        <v>#REF!</v>
      </c>
      <c r="BE6" t="e">
        <f>AND(#REF!,"AAAAAC/33jg=")</f>
        <v>#REF!</v>
      </c>
      <c r="BF6" t="e">
        <f>AND(#REF!,"AAAAAC/33jk=")</f>
        <v>#REF!</v>
      </c>
      <c r="BG6" t="e">
        <f>AND(#REF!,"AAAAAC/33jo=")</f>
        <v>#REF!</v>
      </c>
      <c r="BH6" t="e">
        <f>AND(#REF!,"AAAAAC/33js=")</f>
        <v>#REF!</v>
      </c>
      <c r="BI6" t="e">
        <f>IF(#REF!,"AAAAAC/33jw=",0)</f>
        <v>#REF!</v>
      </c>
      <c r="BJ6" t="e">
        <f>AND(#REF!,"AAAAAC/33j0=")</f>
        <v>#REF!</v>
      </c>
      <c r="BK6" t="e">
        <f>AND(#REF!,"AAAAAC/33j4=")</f>
        <v>#REF!</v>
      </c>
      <c r="BL6" t="e">
        <f>AND(#REF!,"AAAAAC/33j8=")</f>
        <v>#REF!</v>
      </c>
      <c r="BM6" t="e">
        <f>AND(#REF!,"AAAAAC/33kA=")</f>
        <v>#REF!</v>
      </c>
      <c r="BN6" t="e">
        <f>AND(#REF!,"AAAAAC/33kE=")</f>
        <v>#REF!</v>
      </c>
      <c r="BO6" t="e">
        <f>AND(#REF!,"AAAAAC/33kI=")</f>
        <v>#REF!</v>
      </c>
      <c r="BP6" t="e">
        <f>AND(#REF!,"AAAAAC/33kM=")</f>
        <v>#REF!</v>
      </c>
      <c r="BQ6" t="e">
        <f>AND(#REF!,"AAAAAC/33kQ=")</f>
        <v>#REF!</v>
      </c>
      <c r="BR6" t="e">
        <f>AND(#REF!,"AAAAAC/33kU=")</f>
        <v>#REF!</v>
      </c>
      <c r="BS6" t="e">
        <f>AND(#REF!,"AAAAAC/33kY=")</f>
        <v>#REF!</v>
      </c>
      <c r="BT6" t="e">
        <f>AND(#REF!,"AAAAAC/33kc=")</f>
        <v>#REF!</v>
      </c>
      <c r="BU6" t="e">
        <f>AND(#REF!,"AAAAAC/33kg=")</f>
        <v>#REF!</v>
      </c>
      <c r="BV6" t="e">
        <f>AND(#REF!,"AAAAAC/33kk=")</f>
        <v>#REF!</v>
      </c>
      <c r="BW6" t="e">
        <f>AND(#REF!,"AAAAAC/33ko=")</f>
        <v>#REF!</v>
      </c>
      <c r="BX6" t="e">
        <f>AND(#REF!,"AAAAAC/33ks=")</f>
        <v>#REF!</v>
      </c>
      <c r="BY6" t="e">
        <f>AND(#REF!,"AAAAAC/33kw=")</f>
        <v>#REF!</v>
      </c>
      <c r="BZ6" t="e">
        <f>AND(#REF!,"AAAAAC/33k0=")</f>
        <v>#REF!</v>
      </c>
      <c r="CA6" t="e">
        <f>AND(#REF!,"AAAAAC/33k4=")</f>
        <v>#REF!</v>
      </c>
      <c r="CB6" t="e">
        <f>AND(#REF!,"AAAAAC/33k8=")</f>
        <v>#REF!</v>
      </c>
      <c r="CC6" t="e">
        <f>IF(#REF!,"AAAAAC/33lA=",0)</f>
        <v>#REF!</v>
      </c>
      <c r="CD6" t="e">
        <f>AND(#REF!,"AAAAAC/33lE=")</f>
        <v>#REF!</v>
      </c>
      <c r="CE6" t="e">
        <f>AND(#REF!,"AAAAAC/33lI=")</f>
        <v>#REF!</v>
      </c>
      <c r="CF6" t="e">
        <f>AND(#REF!,"AAAAAC/33lM=")</f>
        <v>#REF!</v>
      </c>
      <c r="CG6" t="e">
        <f>AND(#REF!,"AAAAAC/33lQ=")</f>
        <v>#REF!</v>
      </c>
      <c r="CH6" t="e">
        <f>AND(#REF!,"AAAAAC/33lU=")</f>
        <v>#REF!</v>
      </c>
      <c r="CI6" t="e">
        <f>AND(#REF!,"AAAAAC/33lY=")</f>
        <v>#REF!</v>
      </c>
      <c r="CJ6" t="e">
        <f>AND(#REF!,"AAAAAC/33lc=")</f>
        <v>#REF!</v>
      </c>
      <c r="CK6" t="e">
        <f>AND(#REF!,"AAAAAC/33lg=")</f>
        <v>#REF!</v>
      </c>
      <c r="CL6" t="e">
        <f>AND(#REF!,"AAAAAC/33lk=")</f>
        <v>#REF!</v>
      </c>
      <c r="CM6" t="e">
        <f>AND(#REF!,"AAAAAC/33lo=")</f>
        <v>#REF!</v>
      </c>
      <c r="CN6" t="e">
        <f>AND(#REF!,"AAAAAC/33ls=")</f>
        <v>#REF!</v>
      </c>
      <c r="CO6" t="e">
        <f>AND(#REF!,"AAAAAC/33lw=")</f>
        <v>#REF!</v>
      </c>
      <c r="CP6" t="e">
        <f>AND(#REF!,"AAAAAC/33l0=")</f>
        <v>#REF!</v>
      </c>
      <c r="CQ6" t="e">
        <f>AND(#REF!,"AAAAAC/33l4=")</f>
        <v>#REF!</v>
      </c>
      <c r="CR6" t="e">
        <f>AND(#REF!,"AAAAAC/33l8=")</f>
        <v>#REF!</v>
      </c>
      <c r="CS6" t="e">
        <f>AND(#REF!,"AAAAAC/33mA=")</f>
        <v>#REF!</v>
      </c>
      <c r="CT6" t="e">
        <f>AND(#REF!,"AAAAAC/33mE=")</f>
        <v>#REF!</v>
      </c>
      <c r="CU6" t="e">
        <f>AND(#REF!,"AAAAAC/33mI=")</f>
        <v>#REF!</v>
      </c>
      <c r="CV6" t="e">
        <f>AND(#REF!,"AAAAAC/33mM=")</f>
        <v>#REF!</v>
      </c>
      <c r="CW6" t="e">
        <f>IF(#REF!,"AAAAAC/33mQ=",0)</f>
        <v>#REF!</v>
      </c>
      <c r="CX6" t="e">
        <f>AND(#REF!,"AAAAAC/33mU=")</f>
        <v>#REF!</v>
      </c>
      <c r="CY6" t="e">
        <f>AND(#REF!,"AAAAAC/33mY=")</f>
        <v>#REF!</v>
      </c>
      <c r="CZ6" t="e">
        <f>AND(#REF!,"AAAAAC/33mc=")</f>
        <v>#REF!</v>
      </c>
      <c r="DA6" t="e">
        <f>AND(#REF!,"AAAAAC/33mg=")</f>
        <v>#REF!</v>
      </c>
      <c r="DB6" t="e">
        <f>AND(#REF!,"AAAAAC/33mk=")</f>
        <v>#REF!</v>
      </c>
      <c r="DC6" t="e">
        <f>AND(#REF!,"AAAAAC/33mo=")</f>
        <v>#REF!</v>
      </c>
      <c r="DD6" t="e">
        <f>AND(#REF!,"AAAAAC/33ms=")</f>
        <v>#REF!</v>
      </c>
      <c r="DE6" t="e">
        <f>AND(#REF!,"AAAAAC/33mw=")</f>
        <v>#REF!</v>
      </c>
      <c r="DF6" t="e">
        <f>AND(#REF!,"AAAAAC/33m0=")</f>
        <v>#REF!</v>
      </c>
      <c r="DG6" t="e">
        <f>AND(#REF!,"AAAAAC/33m4=")</f>
        <v>#REF!</v>
      </c>
      <c r="DH6" t="e">
        <f>AND(#REF!,"AAAAAC/33m8=")</f>
        <v>#REF!</v>
      </c>
      <c r="DI6" t="e">
        <f>AND(#REF!,"AAAAAC/33nA=")</f>
        <v>#REF!</v>
      </c>
      <c r="DJ6" t="e">
        <f>AND(#REF!,"AAAAAC/33nE=")</f>
        <v>#REF!</v>
      </c>
      <c r="DK6" t="e">
        <f>AND(#REF!,"AAAAAC/33nI=")</f>
        <v>#REF!</v>
      </c>
      <c r="DL6" t="e">
        <f>AND(#REF!,"AAAAAC/33nM=")</f>
        <v>#REF!</v>
      </c>
      <c r="DM6" t="e">
        <f>AND(#REF!,"AAAAAC/33nQ=")</f>
        <v>#REF!</v>
      </c>
      <c r="DN6" t="e">
        <f>AND(#REF!,"AAAAAC/33nU=")</f>
        <v>#REF!</v>
      </c>
      <c r="DO6" t="e">
        <f>AND(#REF!,"AAAAAC/33nY=")</f>
        <v>#REF!</v>
      </c>
      <c r="DP6" t="e">
        <f>AND(#REF!,"AAAAAC/33nc=")</f>
        <v>#REF!</v>
      </c>
      <c r="DQ6" t="e">
        <f>IF(#REF!,"AAAAAC/33ng=",0)</f>
        <v>#REF!</v>
      </c>
      <c r="DR6" t="e">
        <f>AND(#REF!,"AAAAAC/33nk=")</f>
        <v>#REF!</v>
      </c>
      <c r="DS6" t="e">
        <f>AND(#REF!,"AAAAAC/33no=")</f>
        <v>#REF!</v>
      </c>
      <c r="DT6" t="e">
        <f>AND(#REF!,"AAAAAC/33ns=")</f>
        <v>#REF!</v>
      </c>
      <c r="DU6" t="e">
        <f>AND(#REF!,"AAAAAC/33nw=")</f>
        <v>#REF!</v>
      </c>
      <c r="DV6" t="e">
        <f>AND(#REF!,"AAAAAC/33n0=")</f>
        <v>#REF!</v>
      </c>
      <c r="DW6" t="e">
        <f>AND(#REF!,"AAAAAC/33n4=")</f>
        <v>#REF!</v>
      </c>
      <c r="DX6" t="e">
        <f>AND(#REF!,"AAAAAC/33n8=")</f>
        <v>#REF!</v>
      </c>
      <c r="DY6" t="e">
        <f>AND(#REF!,"AAAAAC/33oA=")</f>
        <v>#REF!</v>
      </c>
      <c r="DZ6" t="e">
        <f>AND(#REF!,"AAAAAC/33oE=")</f>
        <v>#REF!</v>
      </c>
      <c r="EA6" t="e">
        <f>AND(#REF!,"AAAAAC/33oI=")</f>
        <v>#REF!</v>
      </c>
      <c r="EB6" t="e">
        <f>AND(#REF!,"AAAAAC/33oM=")</f>
        <v>#REF!</v>
      </c>
      <c r="EC6" t="e">
        <f>AND(#REF!,"AAAAAC/33oQ=")</f>
        <v>#REF!</v>
      </c>
      <c r="ED6" t="e">
        <f>AND(#REF!,"AAAAAC/33oU=")</f>
        <v>#REF!</v>
      </c>
      <c r="EE6" t="e">
        <f>AND(#REF!,"AAAAAC/33oY=")</f>
        <v>#REF!</v>
      </c>
      <c r="EF6" t="e">
        <f>AND(#REF!,"AAAAAC/33oc=")</f>
        <v>#REF!</v>
      </c>
      <c r="EG6" t="e">
        <f>AND(#REF!,"AAAAAC/33og=")</f>
        <v>#REF!</v>
      </c>
      <c r="EH6" t="e">
        <f>AND(#REF!,"AAAAAC/33ok=")</f>
        <v>#REF!</v>
      </c>
      <c r="EI6" t="e">
        <f>AND(#REF!,"AAAAAC/33oo=")</f>
        <v>#REF!</v>
      </c>
      <c r="EJ6" t="e">
        <f>AND(#REF!,"AAAAAC/33os=")</f>
        <v>#REF!</v>
      </c>
      <c r="EK6" t="e">
        <f>IF(#REF!,"AAAAAC/33ow=",0)</f>
        <v>#REF!</v>
      </c>
      <c r="EL6" t="e">
        <f>AND(#REF!,"AAAAAC/33o0=")</f>
        <v>#REF!</v>
      </c>
      <c r="EM6" t="e">
        <f>AND(#REF!,"AAAAAC/33o4=")</f>
        <v>#REF!</v>
      </c>
      <c r="EN6" t="e">
        <f>AND(#REF!,"AAAAAC/33o8=")</f>
        <v>#REF!</v>
      </c>
      <c r="EO6" t="e">
        <f>AND(#REF!,"AAAAAC/33pA=")</f>
        <v>#REF!</v>
      </c>
      <c r="EP6" t="e">
        <f>AND(#REF!,"AAAAAC/33pE=")</f>
        <v>#REF!</v>
      </c>
      <c r="EQ6" t="e">
        <f>AND(#REF!,"AAAAAC/33pI=")</f>
        <v>#REF!</v>
      </c>
      <c r="ER6" t="e">
        <f>AND(#REF!,"AAAAAC/33pM=")</f>
        <v>#REF!</v>
      </c>
      <c r="ES6" t="e">
        <f>AND(#REF!,"AAAAAC/33pQ=")</f>
        <v>#REF!</v>
      </c>
      <c r="ET6" t="e">
        <f>AND(#REF!,"AAAAAC/33pU=")</f>
        <v>#REF!</v>
      </c>
      <c r="EU6" t="e">
        <f>AND(#REF!,"AAAAAC/33pY=")</f>
        <v>#REF!</v>
      </c>
      <c r="EV6" t="e">
        <f>AND(#REF!,"AAAAAC/33pc=")</f>
        <v>#REF!</v>
      </c>
      <c r="EW6" t="e">
        <f>AND(#REF!,"AAAAAC/33pg=")</f>
        <v>#REF!</v>
      </c>
      <c r="EX6" t="e">
        <f>AND(#REF!,"AAAAAC/33pk=")</f>
        <v>#REF!</v>
      </c>
      <c r="EY6" t="e">
        <f>AND(#REF!,"AAAAAC/33po=")</f>
        <v>#REF!</v>
      </c>
      <c r="EZ6" t="e">
        <f>AND(#REF!,"AAAAAC/33ps=")</f>
        <v>#REF!</v>
      </c>
      <c r="FA6" t="e">
        <f>AND(#REF!,"AAAAAC/33pw=")</f>
        <v>#REF!</v>
      </c>
      <c r="FB6" t="e">
        <f>AND(#REF!,"AAAAAC/33p0=")</f>
        <v>#REF!</v>
      </c>
      <c r="FC6" t="e">
        <f>AND(#REF!,"AAAAAC/33p4=")</f>
        <v>#REF!</v>
      </c>
      <c r="FD6" t="e">
        <f>AND(#REF!,"AAAAAC/33p8=")</f>
        <v>#REF!</v>
      </c>
      <c r="FE6" t="e">
        <f>IF(#REF!,"AAAAAC/33qA=",0)</f>
        <v>#REF!</v>
      </c>
      <c r="FF6" t="e">
        <f>AND(#REF!,"AAAAAC/33qE=")</f>
        <v>#REF!</v>
      </c>
      <c r="FG6" t="e">
        <f>AND(#REF!,"AAAAAC/33qI=")</f>
        <v>#REF!</v>
      </c>
      <c r="FH6" t="e">
        <f>AND(#REF!,"AAAAAC/33qM=")</f>
        <v>#REF!</v>
      </c>
      <c r="FI6" t="e">
        <f>AND(#REF!,"AAAAAC/33qQ=")</f>
        <v>#REF!</v>
      </c>
      <c r="FJ6" t="e">
        <f>AND(#REF!,"AAAAAC/33qU=")</f>
        <v>#REF!</v>
      </c>
      <c r="FK6" t="e">
        <f>AND(#REF!,"AAAAAC/33qY=")</f>
        <v>#REF!</v>
      </c>
      <c r="FL6" t="e">
        <f>AND(#REF!,"AAAAAC/33qc=")</f>
        <v>#REF!</v>
      </c>
      <c r="FM6" t="e">
        <f>AND(#REF!,"AAAAAC/33qg=")</f>
        <v>#REF!</v>
      </c>
      <c r="FN6" t="e">
        <f>AND(#REF!,"AAAAAC/33qk=")</f>
        <v>#REF!</v>
      </c>
      <c r="FO6" t="e">
        <f>AND(#REF!,"AAAAAC/33qo=")</f>
        <v>#REF!</v>
      </c>
      <c r="FP6" t="e">
        <f>AND(#REF!,"AAAAAC/33qs=")</f>
        <v>#REF!</v>
      </c>
      <c r="FQ6" t="e">
        <f>AND(#REF!,"AAAAAC/33qw=")</f>
        <v>#REF!</v>
      </c>
      <c r="FR6" t="e">
        <f>AND(#REF!,"AAAAAC/33q0=")</f>
        <v>#REF!</v>
      </c>
      <c r="FS6" t="e">
        <f>AND(#REF!,"AAAAAC/33q4=")</f>
        <v>#REF!</v>
      </c>
      <c r="FT6" t="e">
        <f>AND(#REF!,"AAAAAC/33q8=")</f>
        <v>#REF!</v>
      </c>
      <c r="FU6" t="e">
        <f>AND(#REF!,"AAAAAC/33rA=")</f>
        <v>#REF!</v>
      </c>
      <c r="FV6" t="e">
        <f>AND(#REF!,"AAAAAC/33rE=")</f>
        <v>#REF!</v>
      </c>
      <c r="FW6" t="e">
        <f>AND(#REF!,"AAAAAC/33rI=")</f>
        <v>#REF!</v>
      </c>
      <c r="FX6" t="e">
        <f>AND(#REF!,"AAAAAC/33rM=")</f>
        <v>#REF!</v>
      </c>
      <c r="FY6" t="e">
        <f>IF(#REF!,"AAAAAC/33rQ=",0)</f>
        <v>#REF!</v>
      </c>
      <c r="FZ6" t="e">
        <f>AND(#REF!,"AAAAAC/33rU=")</f>
        <v>#REF!</v>
      </c>
      <c r="GA6" t="e">
        <f>AND(#REF!,"AAAAAC/33rY=")</f>
        <v>#REF!</v>
      </c>
      <c r="GB6" t="e">
        <f>AND(#REF!,"AAAAAC/33rc=")</f>
        <v>#REF!</v>
      </c>
      <c r="GC6" t="e">
        <f>AND(#REF!,"AAAAAC/33rg=")</f>
        <v>#REF!</v>
      </c>
      <c r="GD6" t="e">
        <f>AND(#REF!,"AAAAAC/33rk=")</f>
        <v>#REF!</v>
      </c>
      <c r="GE6" t="e">
        <f>AND(#REF!,"AAAAAC/33ro=")</f>
        <v>#REF!</v>
      </c>
      <c r="GF6" t="e">
        <f>AND(#REF!,"AAAAAC/33rs=")</f>
        <v>#REF!</v>
      </c>
      <c r="GG6" t="e">
        <f>AND(#REF!,"AAAAAC/33rw=")</f>
        <v>#REF!</v>
      </c>
      <c r="GH6" t="e">
        <f>AND(#REF!,"AAAAAC/33r0=")</f>
        <v>#REF!</v>
      </c>
      <c r="GI6" t="e">
        <f>AND(#REF!,"AAAAAC/33r4=")</f>
        <v>#REF!</v>
      </c>
      <c r="GJ6" t="e">
        <f>AND(#REF!,"AAAAAC/33r8=")</f>
        <v>#REF!</v>
      </c>
      <c r="GK6" t="e">
        <f>AND(#REF!,"AAAAAC/33sA=")</f>
        <v>#REF!</v>
      </c>
      <c r="GL6" t="e">
        <f>AND(#REF!,"AAAAAC/33sE=")</f>
        <v>#REF!</v>
      </c>
      <c r="GM6" t="e">
        <f>AND(#REF!,"AAAAAC/33sI=")</f>
        <v>#REF!</v>
      </c>
      <c r="GN6" t="e">
        <f>AND(#REF!,"AAAAAC/33sM=")</f>
        <v>#REF!</v>
      </c>
      <c r="GO6" t="e">
        <f>AND(#REF!,"AAAAAC/33sQ=")</f>
        <v>#REF!</v>
      </c>
      <c r="GP6" t="e">
        <f>AND(#REF!,"AAAAAC/33sU=")</f>
        <v>#REF!</v>
      </c>
      <c r="GQ6" t="e">
        <f>AND(#REF!,"AAAAAC/33sY=")</f>
        <v>#REF!</v>
      </c>
      <c r="GR6" t="e">
        <f>AND(#REF!,"AAAAAC/33sc=")</f>
        <v>#REF!</v>
      </c>
      <c r="GS6" t="e">
        <f>IF(#REF!,"AAAAAC/33sg=",0)</f>
        <v>#REF!</v>
      </c>
      <c r="GT6" t="e">
        <f>AND(#REF!,"AAAAAC/33sk=")</f>
        <v>#REF!</v>
      </c>
      <c r="GU6" t="e">
        <f>AND(#REF!,"AAAAAC/33so=")</f>
        <v>#REF!</v>
      </c>
      <c r="GV6" t="e">
        <f>AND(#REF!,"AAAAAC/33ss=")</f>
        <v>#REF!</v>
      </c>
      <c r="GW6" t="e">
        <f>AND(#REF!,"AAAAAC/33sw=")</f>
        <v>#REF!</v>
      </c>
      <c r="GX6" t="e">
        <f>AND(#REF!,"AAAAAC/33s0=")</f>
        <v>#REF!</v>
      </c>
      <c r="GY6" t="e">
        <f>AND(#REF!,"AAAAAC/33s4=")</f>
        <v>#REF!</v>
      </c>
      <c r="GZ6" t="e">
        <f>AND(#REF!,"AAAAAC/33s8=")</f>
        <v>#REF!</v>
      </c>
      <c r="HA6" t="e">
        <f>AND(#REF!,"AAAAAC/33tA=")</f>
        <v>#REF!</v>
      </c>
      <c r="HB6" t="e">
        <f>AND(#REF!,"AAAAAC/33tE=")</f>
        <v>#REF!</v>
      </c>
      <c r="HC6" t="e">
        <f>AND(#REF!,"AAAAAC/33tI=")</f>
        <v>#REF!</v>
      </c>
      <c r="HD6" t="e">
        <f>AND(#REF!,"AAAAAC/33tM=")</f>
        <v>#REF!</v>
      </c>
      <c r="HE6" t="e">
        <f>AND(#REF!,"AAAAAC/33tQ=")</f>
        <v>#REF!</v>
      </c>
      <c r="HF6" t="e">
        <f>AND(#REF!,"AAAAAC/33tU=")</f>
        <v>#REF!</v>
      </c>
      <c r="HG6" t="e">
        <f>AND(#REF!,"AAAAAC/33tY=")</f>
        <v>#REF!</v>
      </c>
      <c r="HH6" t="e">
        <f>AND(#REF!,"AAAAAC/33tc=")</f>
        <v>#REF!</v>
      </c>
      <c r="HI6" t="e">
        <f>AND(#REF!,"AAAAAC/33tg=")</f>
        <v>#REF!</v>
      </c>
      <c r="HJ6" t="e">
        <f>AND(#REF!,"AAAAAC/33tk=")</f>
        <v>#REF!</v>
      </c>
      <c r="HK6" t="e">
        <f>AND(#REF!,"AAAAAC/33to=")</f>
        <v>#REF!</v>
      </c>
      <c r="HL6" t="e">
        <f>AND(#REF!,"AAAAAC/33ts=")</f>
        <v>#REF!</v>
      </c>
      <c r="HM6" t="e">
        <f>IF(#REF!,"AAAAAC/33tw=",0)</f>
        <v>#REF!</v>
      </c>
      <c r="HN6" t="e">
        <f>AND(#REF!,"AAAAAC/33t0=")</f>
        <v>#REF!</v>
      </c>
      <c r="HO6" t="e">
        <f>AND(#REF!,"AAAAAC/33t4=")</f>
        <v>#REF!</v>
      </c>
      <c r="HP6" t="e">
        <f>AND(#REF!,"AAAAAC/33t8=")</f>
        <v>#REF!</v>
      </c>
      <c r="HQ6" t="e">
        <f>AND(#REF!,"AAAAAC/33uA=")</f>
        <v>#REF!</v>
      </c>
      <c r="HR6" t="e">
        <f>AND(#REF!,"AAAAAC/33uE=")</f>
        <v>#REF!</v>
      </c>
      <c r="HS6" t="e">
        <f>AND(#REF!,"AAAAAC/33uI=")</f>
        <v>#REF!</v>
      </c>
      <c r="HT6" t="e">
        <f>AND(#REF!,"AAAAAC/33uM=")</f>
        <v>#REF!</v>
      </c>
      <c r="HU6" t="e">
        <f>AND(#REF!,"AAAAAC/33uQ=")</f>
        <v>#REF!</v>
      </c>
      <c r="HV6" t="e">
        <f>AND(#REF!,"AAAAAC/33uU=")</f>
        <v>#REF!</v>
      </c>
      <c r="HW6" t="e">
        <f>AND(#REF!,"AAAAAC/33uY=")</f>
        <v>#REF!</v>
      </c>
      <c r="HX6" t="e">
        <f>AND(#REF!,"AAAAAC/33uc=")</f>
        <v>#REF!</v>
      </c>
      <c r="HY6" t="e">
        <f>AND(#REF!,"AAAAAC/33ug=")</f>
        <v>#REF!</v>
      </c>
      <c r="HZ6" t="e">
        <f>AND(#REF!,"AAAAAC/33uk=")</f>
        <v>#REF!</v>
      </c>
      <c r="IA6" t="e">
        <f>AND(#REF!,"AAAAAC/33uo=")</f>
        <v>#REF!</v>
      </c>
      <c r="IB6" t="e">
        <f>AND(#REF!,"AAAAAC/33us=")</f>
        <v>#REF!</v>
      </c>
      <c r="IC6" t="e">
        <f>AND(#REF!,"AAAAAC/33uw=")</f>
        <v>#REF!</v>
      </c>
      <c r="ID6" t="e">
        <f>AND(#REF!,"AAAAAC/33u0=")</f>
        <v>#REF!</v>
      </c>
      <c r="IE6" t="e">
        <f>AND(#REF!,"AAAAAC/33u4=")</f>
        <v>#REF!</v>
      </c>
      <c r="IF6" t="e">
        <f>AND(#REF!,"AAAAAC/33u8=")</f>
        <v>#REF!</v>
      </c>
      <c r="IG6" t="e">
        <f>IF(#REF!,"AAAAAC/33vA=",0)</f>
        <v>#REF!</v>
      </c>
      <c r="IH6" t="e">
        <f>AND(#REF!,"AAAAAC/33vE=")</f>
        <v>#REF!</v>
      </c>
      <c r="II6" t="e">
        <f>AND(#REF!,"AAAAAC/33vI=")</f>
        <v>#REF!</v>
      </c>
      <c r="IJ6" t="e">
        <f>AND(#REF!,"AAAAAC/33vM=")</f>
        <v>#REF!</v>
      </c>
      <c r="IK6" t="e">
        <f>AND(#REF!,"AAAAAC/33vQ=")</f>
        <v>#REF!</v>
      </c>
      <c r="IL6" t="e">
        <f>AND(#REF!,"AAAAAC/33vU=")</f>
        <v>#REF!</v>
      </c>
      <c r="IM6" t="e">
        <f>AND(#REF!,"AAAAAC/33vY=")</f>
        <v>#REF!</v>
      </c>
      <c r="IN6" t="e">
        <f>AND(#REF!,"AAAAAC/33vc=")</f>
        <v>#REF!</v>
      </c>
      <c r="IO6" t="e">
        <f>AND(#REF!,"AAAAAC/33vg=")</f>
        <v>#REF!</v>
      </c>
      <c r="IP6" t="e">
        <f>AND(#REF!,"AAAAAC/33vk=")</f>
        <v>#REF!</v>
      </c>
      <c r="IQ6" t="e">
        <f>AND(#REF!,"AAAAAC/33vo=")</f>
        <v>#REF!</v>
      </c>
      <c r="IR6" t="e">
        <f>AND(#REF!,"AAAAAC/33vs=")</f>
        <v>#REF!</v>
      </c>
      <c r="IS6" t="e">
        <f>AND(#REF!,"AAAAAC/33vw=")</f>
        <v>#REF!</v>
      </c>
      <c r="IT6" t="e">
        <f>AND(#REF!,"AAAAAC/33v0=")</f>
        <v>#REF!</v>
      </c>
      <c r="IU6" t="e">
        <f>AND(#REF!,"AAAAAC/33v4=")</f>
        <v>#REF!</v>
      </c>
      <c r="IV6" t="e">
        <f>AND(#REF!,"AAAAAC/33v8=")</f>
        <v>#REF!</v>
      </c>
    </row>
    <row r="7" spans="1:256" x14ac:dyDescent="0.15">
      <c r="A7" t="e">
        <f>AND(#REF!,"AAAAAHW+rwA=")</f>
        <v>#REF!</v>
      </c>
      <c r="B7" t="e">
        <f>AND(#REF!,"AAAAAHW+rwE=")</f>
        <v>#REF!</v>
      </c>
      <c r="C7" t="e">
        <f>AND(#REF!,"AAAAAHW+rwI=")</f>
        <v>#REF!</v>
      </c>
      <c r="D7" t="e">
        <f>AND(#REF!,"AAAAAHW+rwM=")</f>
        <v>#REF!</v>
      </c>
      <c r="E7" t="e">
        <f>IF(#REF!,"AAAAAHW+rwQ=",0)</f>
        <v>#REF!</v>
      </c>
      <c r="F7" t="e">
        <f>AND(#REF!,"AAAAAHW+rwU=")</f>
        <v>#REF!</v>
      </c>
      <c r="G7" t="e">
        <f>AND(#REF!,"AAAAAHW+rwY=")</f>
        <v>#REF!</v>
      </c>
      <c r="H7" t="e">
        <f>AND(#REF!,"AAAAAHW+rwc=")</f>
        <v>#REF!</v>
      </c>
      <c r="I7" t="e">
        <f>AND(#REF!,"AAAAAHW+rwg=")</f>
        <v>#REF!</v>
      </c>
      <c r="J7" t="e">
        <f>AND(#REF!,"AAAAAHW+rwk=")</f>
        <v>#REF!</v>
      </c>
      <c r="K7" t="e">
        <f>AND(#REF!,"AAAAAHW+rwo=")</f>
        <v>#REF!</v>
      </c>
      <c r="L7" t="e">
        <f>AND(#REF!,"AAAAAHW+rws=")</f>
        <v>#REF!</v>
      </c>
      <c r="M7" t="e">
        <f>AND(#REF!,"AAAAAHW+rww=")</f>
        <v>#REF!</v>
      </c>
      <c r="N7" t="e">
        <f>AND(#REF!,"AAAAAHW+rw0=")</f>
        <v>#REF!</v>
      </c>
      <c r="O7" t="e">
        <f>AND(#REF!,"AAAAAHW+rw4=")</f>
        <v>#REF!</v>
      </c>
      <c r="P7" t="e">
        <f>AND(#REF!,"AAAAAHW+rw8=")</f>
        <v>#REF!</v>
      </c>
      <c r="Q7" t="e">
        <f>AND(#REF!,"AAAAAHW+rxA=")</f>
        <v>#REF!</v>
      </c>
      <c r="R7" t="e">
        <f>AND(#REF!,"AAAAAHW+rxE=")</f>
        <v>#REF!</v>
      </c>
      <c r="S7" t="e">
        <f>AND(#REF!,"AAAAAHW+rxI=")</f>
        <v>#REF!</v>
      </c>
      <c r="T7" t="e">
        <f>AND(#REF!,"AAAAAHW+rxM=")</f>
        <v>#REF!</v>
      </c>
      <c r="U7" t="e">
        <f>AND(#REF!,"AAAAAHW+rxQ=")</f>
        <v>#REF!</v>
      </c>
      <c r="V7" t="e">
        <f>AND(#REF!,"AAAAAHW+rxU=")</f>
        <v>#REF!</v>
      </c>
      <c r="W7" t="e">
        <f>AND(#REF!,"AAAAAHW+rxY=")</f>
        <v>#REF!</v>
      </c>
      <c r="X7" t="e">
        <f>AND(#REF!,"AAAAAHW+rxc=")</f>
        <v>#REF!</v>
      </c>
      <c r="Y7" t="e">
        <f>IF(#REF!,"AAAAAHW+rxg=",0)</f>
        <v>#REF!</v>
      </c>
      <c r="Z7" t="e">
        <f>AND(#REF!,"AAAAAHW+rxk=")</f>
        <v>#REF!</v>
      </c>
      <c r="AA7" t="e">
        <f>AND(#REF!,"AAAAAHW+rxo=")</f>
        <v>#REF!</v>
      </c>
      <c r="AB7" t="e">
        <f>AND(#REF!,"AAAAAHW+rxs=")</f>
        <v>#REF!</v>
      </c>
      <c r="AC7" t="e">
        <f>AND(#REF!,"AAAAAHW+rxw=")</f>
        <v>#REF!</v>
      </c>
      <c r="AD7" t="e">
        <f>AND(#REF!,"AAAAAHW+rx0=")</f>
        <v>#REF!</v>
      </c>
      <c r="AE7" t="e">
        <f>AND(#REF!,"AAAAAHW+rx4=")</f>
        <v>#REF!</v>
      </c>
      <c r="AF7" t="e">
        <f>AND(#REF!,"AAAAAHW+rx8=")</f>
        <v>#REF!</v>
      </c>
      <c r="AG7" t="e">
        <f>AND(#REF!,"AAAAAHW+ryA=")</f>
        <v>#REF!</v>
      </c>
      <c r="AH7" t="e">
        <f>AND(#REF!,"AAAAAHW+ryE=")</f>
        <v>#REF!</v>
      </c>
      <c r="AI7" t="e">
        <f>AND(#REF!,"AAAAAHW+ryI=")</f>
        <v>#REF!</v>
      </c>
      <c r="AJ7" t="e">
        <f>AND(#REF!,"AAAAAHW+ryM=")</f>
        <v>#REF!</v>
      </c>
      <c r="AK7" t="e">
        <f>AND(#REF!,"AAAAAHW+ryQ=")</f>
        <v>#REF!</v>
      </c>
      <c r="AL7" t="e">
        <f>AND(#REF!,"AAAAAHW+ryU=")</f>
        <v>#REF!</v>
      </c>
      <c r="AM7" t="e">
        <f>AND(#REF!,"AAAAAHW+ryY=")</f>
        <v>#REF!</v>
      </c>
      <c r="AN7" t="e">
        <f>AND(#REF!,"AAAAAHW+ryc=")</f>
        <v>#REF!</v>
      </c>
      <c r="AO7" t="e">
        <f>AND(#REF!,"AAAAAHW+ryg=")</f>
        <v>#REF!</v>
      </c>
      <c r="AP7" t="e">
        <f>AND(#REF!,"AAAAAHW+ryk=")</f>
        <v>#REF!</v>
      </c>
      <c r="AQ7" t="e">
        <f>AND(#REF!,"AAAAAHW+ryo=")</f>
        <v>#REF!</v>
      </c>
      <c r="AR7" t="e">
        <f>AND(#REF!,"AAAAAHW+rys=")</f>
        <v>#REF!</v>
      </c>
      <c r="AS7" t="e">
        <f>IF(#REF!,"AAAAAHW+ryw=",0)</f>
        <v>#REF!</v>
      </c>
      <c r="AT7" t="e">
        <f>AND(#REF!,"AAAAAHW+ry0=")</f>
        <v>#REF!</v>
      </c>
      <c r="AU7" t="e">
        <f>AND(#REF!,"AAAAAHW+ry4=")</f>
        <v>#REF!</v>
      </c>
      <c r="AV7" t="e">
        <f>AND(#REF!,"AAAAAHW+ry8=")</f>
        <v>#REF!</v>
      </c>
      <c r="AW7" t="e">
        <f>AND(#REF!,"AAAAAHW+rzA=")</f>
        <v>#REF!</v>
      </c>
      <c r="AX7" t="e">
        <f>AND(#REF!,"AAAAAHW+rzE=")</f>
        <v>#REF!</v>
      </c>
      <c r="AY7" t="e">
        <f>AND(#REF!,"AAAAAHW+rzI=")</f>
        <v>#REF!</v>
      </c>
      <c r="AZ7" t="e">
        <f>AND(#REF!,"AAAAAHW+rzM=")</f>
        <v>#REF!</v>
      </c>
      <c r="BA7" t="e">
        <f>AND(#REF!,"AAAAAHW+rzQ=")</f>
        <v>#REF!</v>
      </c>
      <c r="BB7" t="e">
        <f>AND(#REF!,"AAAAAHW+rzU=")</f>
        <v>#REF!</v>
      </c>
      <c r="BC7" t="e">
        <f>AND(#REF!,"AAAAAHW+rzY=")</f>
        <v>#REF!</v>
      </c>
      <c r="BD7" t="e">
        <f>AND(#REF!,"AAAAAHW+rzc=")</f>
        <v>#REF!</v>
      </c>
      <c r="BE7" t="e">
        <f>AND(#REF!,"AAAAAHW+rzg=")</f>
        <v>#REF!</v>
      </c>
      <c r="BF7" t="e">
        <f>AND(#REF!,"AAAAAHW+rzk=")</f>
        <v>#REF!</v>
      </c>
      <c r="BG7" t="e">
        <f>AND(#REF!,"AAAAAHW+rzo=")</f>
        <v>#REF!</v>
      </c>
      <c r="BH7" t="e">
        <f>AND(#REF!,"AAAAAHW+rzs=")</f>
        <v>#REF!</v>
      </c>
      <c r="BI7" t="e">
        <f>AND(#REF!,"AAAAAHW+rzw=")</f>
        <v>#REF!</v>
      </c>
      <c r="BJ7" t="e">
        <f>AND(#REF!,"AAAAAHW+rz0=")</f>
        <v>#REF!</v>
      </c>
      <c r="BK7" t="e">
        <f>AND(#REF!,"AAAAAHW+rz4=")</f>
        <v>#REF!</v>
      </c>
      <c r="BL7" t="e">
        <f>AND(#REF!,"AAAAAHW+rz8=")</f>
        <v>#REF!</v>
      </c>
      <c r="BM7" t="e">
        <f>IF(#REF!,"AAAAAHW+r0A=",0)</f>
        <v>#REF!</v>
      </c>
      <c r="BN7" t="e">
        <f>AND(#REF!,"AAAAAHW+r0E=")</f>
        <v>#REF!</v>
      </c>
      <c r="BO7" t="e">
        <f>AND(#REF!,"AAAAAHW+r0I=")</f>
        <v>#REF!</v>
      </c>
      <c r="BP7" t="e">
        <f>AND(#REF!,"AAAAAHW+r0M=")</f>
        <v>#REF!</v>
      </c>
      <c r="BQ7" t="e">
        <f>AND(#REF!,"AAAAAHW+r0Q=")</f>
        <v>#REF!</v>
      </c>
      <c r="BR7" t="e">
        <f>AND(#REF!,"AAAAAHW+r0U=")</f>
        <v>#REF!</v>
      </c>
      <c r="BS7" t="e">
        <f>AND(#REF!,"AAAAAHW+r0Y=")</f>
        <v>#REF!</v>
      </c>
      <c r="BT7" t="e">
        <f>AND(#REF!,"AAAAAHW+r0c=")</f>
        <v>#REF!</v>
      </c>
      <c r="BU7" t="e">
        <f>AND(#REF!,"AAAAAHW+r0g=")</f>
        <v>#REF!</v>
      </c>
      <c r="BV7" t="e">
        <f>AND(#REF!,"AAAAAHW+r0k=")</f>
        <v>#REF!</v>
      </c>
      <c r="BW7" t="e">
        <f>AND(#REF!,"AAAAAHW+r0o=")</f>
        <v>#REF!</v>
      </c>
      <c r="BX7" t="e">
        <f>AND(#REF!,"AAAAAHW+r0s=")</f>
        <v>#REF!</v>
      </c>
      <c r="BY7" t="e">
        <f>AND(#REF!,"AAAAAHW+r0w=")</f>
        <v>#REF!</v>
      </c>
      <c r="BZ7" t="e">
        <f>AND(#REF!,"AAAAAHW+r00=")</f>
        <v>#REF!</v>
      </c>
      <c r="CA7" t="e">
        <f>AND(#REF!,"AAAAAHW+r04=")</f>
        <v>#REF!</v>
      </c>
      <c r="CB7" t="e">
        <f>AND(#REF!,"AAAAAHW+r08=")</f>
        <v>#REF!</v>
      </c>
      <c r="CC7" t="e">
        <f>AND(#REF!,"AAAAAHW+r1A=")</f>
        <v>#REF!</v>
      </c>
      <c r="CD7" t="e">
        <f>AND(#REF!,"AAAAAHW+r1E=")</f>
        <v>#REF!</v>
      </c>
      <c r="CE7" t="e">
        <f>AND(#REF!,"AAAAAHW+r1I=")</f>
        <v>#REF!</v>
      </c>
      <c r="CF7" t="e">
        <f>AND(#REF!,"AAAAAHW+r1M=")</f>
        <v>#REF!</v>
      </c>
      <c r="CG7" t="e">
        <f>IF(#REF!,"AAAAAHW+r1Q=",0)</f>
        <v>#REF!</v>
      </c>
      <c r="CH7" t="e">
        <f>AND(#REF!,"AAAAAHW+r1U=")</f>
        <v>#REF!</v>
      </c>
      <c r="CI7" t="e">
        <f>AND(#REF!,"AAAAAHW+r1Y=")</f>
        <v>#REF!</v>
      </c>
      <c r="CJ7" t="e">
        <f>AND(#REF!,"AAAAAHW+r1c=")</f>
        <v>#REF!</v>
      </c>
      <c r="CK7" t="e">
        <f>AND(#REF!,"AAAAAHW+r1g=")</f>
        <v>#REF!</v>
      </c>
      <c r="CL7" t="e">
        <f>AND(#REF!,"AAAAAHW+r1k=")</f>
        <v>#REF!</v>
      </c>
      <c r="CM7" t="e">
        <f>AND(#REF!,"AAAAAHW+r1o=")</f>
        <v>#REF!</v>
      </c>
      <c r="CN7" t="e">
        <f>AND(#REF!,"AAAAAHW+r1s=")</f>
        <v>#REF!</v>
      </c>
      <c r="CO7" t="e">
        <f>AND(#REF!,"AAAAAHW+r1w=")</f>
        <v>#REF!</v>
      </c>
      <c r="CP7" t="e">
        <f>AND(#REF!,"AAAAAHW+r10=")</f>
        <v>#REF!</v>
      </c>
      <c r="CQ7" t="e">
        <f>AND(#REF!,"AAAAAHW+r14=")</f>
        <v>#REF!</v>
      </c>
      <c r="CR7" t="e">
        <f>AND(#REF!,"AAAAAHW+r18=")</f>
        <v>#REF!</v>
      </c>
      <c r="CS7" t="e">
        <f>AND(#REF!,"AAAAAHW+r2A=")</f>
        <v>#REF!</v>
      </c>
      <c r="CT7" t="e">
        <f>AND(#REF!,"AAAAAHW+r2E=")</f>
        <v>#REF!</v>
      </c>
      <c r="CU7" t="e">
        <f>AND(#REF!,"AAAAAHW+r2I=")</f>
        <v>#REF!</v>
      </c>
      <c r="CV7" t="e">
        <f>AND(#REF!,"AAAAAHW+r2M=")</f>
        <v>#REF!</v>
      </c>
      <c r="CW7" t="e">
        <f>AND(#REF!,"AAAAAHW+r2Q=")</f>
        <v>#REF!</v>
      </c>
      <c r="CX7" t="e">
        <f>AND(#REF!,"AAAAAHW+r2U=")</f>
        <v>#REF!</v>
      </c>
      <c r="CY7" t="e">
        <f>AND(#REF!,"AAAAAHW+r2Y=")</f>
        <v>#REF!</v>
      </c>
      <c r="CZ7" t="e">
        <f>AND(#REF!,"AAAAAHW+r2c=")</f>
        <v>#REF!</v>
      </c>
      <c r="DA7" t="e">
        <f>IF(#REF!,"AAAAAHW+r2g=",0)</f>
        <v>#REF!</v>
      </c>
      <c r="DB7" t="e">
        <f>AND(#REF!,"AAAAAHW+r2k=")</f>
        <v>#REF!</v>
      </c>
      <c r="DC7" t="e">
        <f>AND(#REF!,"AAAAAHW+r2o=")</f>
        <v>#REF!</v>
      </c>
      <c r="DD7" t="e">
        <f>AND(#REF!,"AAAAAHW+r2s=")</f>
        <v>#REF!</v>
      </c>
      <c r="DE7" t="e">
        <f>AND(#REF!,"AAAAAHW+r2w=")</f>
        <v>#REF!</v>
      </c>
      <c r="DF7" t="e">
        <f>AND(#REF!,"AAAAAHW+r20=")</f>
        <v>#REF!</v>
      </c>
      <c r="DG7" t="e">
        <f>AND(#REF!,"AAAAAHW+r24=")</f>
        <v>#REF!</v>
      </c>
      <c r="DH7" t="e">
        <f>AND(#REF!,"AAAAAHW+r28=")</f>
        <v>#REF!</v>
      </c>
      <c r="DI7" t="e">
        <f>AND(#REF!,"AAAAAHW+r3A=")</f>
        <v>#REF!</v>
      </c>
      <c r="DJ7" t="e">
        <f>AND(#REF!,"AAAAAHW+r3E=")</f>
        <v>#REF!</v>
      </c>
      <c r="DK7" t="e">
        <f>AND(#REF!,"AAAAAHW+r3I=")</f>
        <v>#REF!</v>
      </c>
      <c r="DL7" t="e">
        <f>AND(#REF!,"AAAAAHW+r3M=")</f>
        <v>#REF!</v>
      </c>
      <c r="DM7" t="e">
        <f>AND(#REF!,"AAAAAHW+r3Q=")</f>
        <v>#REF!</v>
      </c>
      <c r="DN7" t="e">
        <f>AND(#REF!,"AAAAAHW+r3U=")</f>
        <v>#REF!</v>
      </c>
      <c r="DO7" t="e">
        <f>AND(#REF!,"AAAAAHW+r3Y=")</f>
        <v>#REF!</v>
      </c>
      <c r="DP7" t="e">
        <f>AND(#REF!,"AAAAAHW+r3c=")</f>
        <v>#REF!</v>
      </c>
      <c r="DQ7" t="e">
        <f>AND(#REF!,"AAAAAHW+r3g=")</f>
        <v>#REF!</v>
      </c>
      <c r="DR7" t="e">
        <f>AND(#REF!,"AAAAAHW+r3k=")</f>
        <v>#REF!</v>
      </c>
      <c r="DS7" t="e">
        <f>AND(#REF!,"AAAAAHW+r3o=")</f>
        <v>#REF!</v>
      </c>
      <c r="DT7" t="e">
        <f>AND(#REF!,"AAAAAHW+r3s=")</f>
        <v>#REF!</v>
      </c>
      <c r="DU7" t="e">
        <f>IF(#REF!,"AAAAAHW+r3w=",0)</f>
        <v>#REF!</v>
      </c>
      <c r="DV7" t="e">
        <f>AND(#REF!,"AAAAAHW+r30=")</f>
        <v>#REF!</v>
      </c>
      <c r="DW7" t="e">
        <f>AND(#REF!,"AAAAAHW+r34=")</f>
        <v>#REF!</v>
      </c>
      <c r="DX7" t="e">
        <f>AND(#REF!,"AAAAAHW+r38=")</f>
        <v>#REF!</v>
      </c>
      <c r="DY7" t="e">
        <f>AND(#REF!,"AAAAAHW+r4A=")</f>
        <v>#REF!</v>
      </c>
      <c r="DZ7" t="e">
        <f>AND(#REF!,"AAAAAHW+r4E=")</f>
        <v>#REF!</v>
      </c>
      <c r="EA7" t="e">
        <f>AND(#REF!,"AAAAAHW+r4I=")</f>
        <v>#REF!</v>
      </c>
      <c r="EB7" t="e">
        <f>AND(#REF!,"AAAAAHW+r4M=")</f>
        <v>#REF!</v>
      </c>
      <c r="EC7" t="e">
        <f>AND(#REF!,"AAAAAHW+r4Q=")</f>
        <v>#REF!</v>
      </c>
      <c r="ED7" t="e">
        <f>AND(#REF!,"AAAAAHW+r4U=")</f>
        <v>#REF!</v>
      </c>
      <c r="EE7" t="e">
        <f>AND(#REF!,"AAAAAHW+r4Y=")</f>
        <v>#REF!</v>
      </c>
      <c r="EF7" t="e">
        <f>AND(#REF!,"AAAAAHW+r4c=")</f>
        <v>#REF!</v>
      </c>
      <c r="EG7" t="e">
        <f>AND(#REF!,"AAAAAHW+r4g=")</f>
        <v>#REF!</v>
      </c>
      <c r="EH7" t="e">
        <f>AND(#REF!,"AAAAAHW+r4k=")</f>
        <v>#REF!</v>
      </c>
      <c r="EI7" t="e">
        <f>AND(#REF!,"AAAAAHW+r4o=")</f>
        <v>#REF!</v>
      </c>
      <c r="EJ7" t="e">
        <f>AND(#REF!,"AAAAAHW+r4s=")</f>
        <v>#REF!</v>
      </c>
      <c r="EK7" t="e">
        <f>AND(#REF!,"AAAAAHW+r4w=")</f>
        <v>#REF!</v>
      </c>
      <c r="EL7" t="e">
        <f>AND(#REF!,"AAAAAHW+r40=")</f>
        <v>#REF!</v>
      </c>
      <c r="EM7" t="e">
        <f>AND(#REF!,"AAAAAHW+r44=")</f>
        <v>#REF!</v>
      </c>
      <c r="EN7" t="e">
        <f>AND(#REF!,"AAAAAHW+r48=")</f>
        <v>#REF!</v>
      </c>
      <c r="EO7" t="e">
        <f>IF(#REF!,"AAAAAHW+r5A=",0)</f>
        <v>#REF!</v>
      </c>
      <c r="EP7" t="e">
        <f>AND(#REF!,"AAAAAHW+r5E=")</f>
        <v>#REF!</v>
      </c>
      <c r="EQ7" t="e">
        <f>AND(#REF!,"AAAAAHW+r5I=")</f>
        <v>#REF!</v>
      </c>
      <c r="ER7" t="e">
        <f>AND(#REF!,"AAAAAHW+r5M=")</f>
        <v>#REF!</v>
      </c>
      <c r="ES7" t="e">
        <f>AND(#REF!,"AAAAAHW+r5Q=")</f>
        <v>#REF!</v>
      </c>
      <c r="ET7" t="e">
        <f>AND(#REF!,"AAAAAHW+r5U=")</f>
        <v>#REF!</v>
      </c>
      <c r="EU7" t="e">
        <f>AND(#REF!,"AAAAAHW+r5Y=")</f>
        <v>#REF!</v>
      </c>
      <c r="EV7" t="e">
        <f>AND(#REF!,"AAAAAHW+r5c=")</f>
        <v>#REF!</v>
      </c>
      <c r="EW7" t="e">
        <f>AND(#REF!,"AAAAAHW+r5g=")</f>
        <v>#REF!</v>
      </c>
      <c r="EX7" t="e">
        <f>AND(#REF!,"AAAAAHW+r5k=")</f>
        <v>#REF!</v>
      </c>
      <c r="EY7" t="e">
        <f>AND(#REF!,"AAAAAHW+r5o=")</f>
        <v>#REF!</v>
      </c>
      <c r="EZ7" t="e">
        <f>AND(#REF!,"AAAAAHW+r5s=")</f>
        <v>#REF!</v>
      </c>
      <c r="FA7" t="e">
        <f>AND(#REF!,"AAAAAHW+r5w=")</f>
        <v>#REF!</v>
      </c>
      <c r="FB7" t="e">
        <f>AND(#REF!,"AAAAAHW+r50=")</f>
        <v>#REF!</v>
      </c>
      <c r="FC7" t="e">
        <f>AND(#REF!,"AAAAAHW+r54=")</f>
        <v>#REF!</v>
      </c>
      <c r="FD7" t="e">
        <f>AND(#REF!,"AAAAAHW+r58=")</f>
        <v>#REF!</v>
      </c>
      <c r="FE7" t="e">
        <f>AND(#REF!,"AAAAAHW+r6A=")</f>
        <v>#REF!</v>
      </c>
      <c r="FF7" t="e">
        <f>AND(#REF!,"AAAAAHW+r6E=")</f>
        <v>#REF!</v>
      </c>
      <c r="FG7" t="e">
        <f>AND(#REF!,"AAAAAHW+r6I=")</f>
        <v>#REF!</v>
      </c>
      <c r="FH7" t="e">
        <f>AND(#REF!,"AAAAAHW+r6M=")</f>
        <v>#REF!</v>
      </c>
      <c r="FI7" t="e">
        <f>IF(#REF!,"AAAAAHW+r6Q=",0)</f>
        <v>#REF!</v>
      </c>
      <c r="FJ7" t="e">
        <f>AND(#REF!,"AAAAAHW+r6U=")</f>
        <v>#REF!</v>
      </c>
      <c r="FK7" t="e">
        <f>AND(#REF!,"AAAAAHW+r6Y=")</f>
        <v>#REF!</v>
      </c>
      <c r="FL7" t="e">
        <f>AND(#REF!,"AAAAAHW+r6c=")</f>
        <v>#REF!</v>
      </c>
      <c r="FM7" t="e">
        <f>AND(#REF!,"AAAAAHW+r6g=")</f>
        <v>#REF!</v>
      </c>
      <c r="FN7" t="e">
        <f>AND(#REF!,"AAAAAHW+r6k=")</f>
        <v>#REF!</v>
      </c>
      <c r="FO7" t="e">
        <f>AND(#REF!,"AAAAAHW+r6o=")</f>
        <v>#REF!</v>
      </c>
      <c r="FP7" t="e">
        <f>AND(#REF!,"AAAAAHW+r6s=")</f>
        <v>#REF!</v>
      </c>
      <c r="FQ7" t="e">
        <f>AND(#REF!,"AAAAAHW+r6w=")</f>
        <v>#REF!</v>
      </c>
      <c r="FR7" t="e">
        <f>AND(#REF!,"AAAAAHW+r60=")</f>
        <v>#REF!</v>
      </c>
      <c r="FS7" t="e">
        <f>AND(#REF!,"AAAAAHW+r64=")</f>
        <v>#REF!</v>
      </c>
      <c r="FT7" t="e">
        <f>AND(#REF!,"AAAAAHW+r68=")</f>
        <v>#REF!</v>
      </c>
      <c r="FU7" t="e">
        <f>AND(#REF!,"AAAAAHW+r7A=")</f>
        <v>#REF!</v>
      </c>
      <c r="FV7" t="e">
        <f>AND(#REF!,"AAAAAHW+r7E=")</f>
        <v>#REF!</v>
      </c>
      <c r="FW7" t="e">
        <f>AND(#REF!,"AAAAAHW+r7I=")</f>
        <v>#REF!</v>
      </c>
      <c r="FX7" t="e">
        <f>AND(#REF!,"AAAAAHW+r7M=")</f>
        <v>#REF!</v>
      </c>
      <c r="FY7" t="e">
        <f>AND(#REF!,"AAAAAHW+r7Q=")</f>
        <v>#REF!</v>
      </c>
      <c r="FZ7" t="e">
        <f>AND(#REF!,"AAAAAHW+r7U=")</f>
        <v>#REF!</v>
      </c>
      <c r="GA7" t="e">
        <f>AND(#REF!,"AAAAAHW+r7Y=")</f>
        <v>#REF!</v>
      </c>
      <c r="GB7" t="e">
        <f>AND(#REF!,"AAAAAHW+r7c=")</f>
        <v>#REF!</v>
      </c>
      <c r="GC7" t="e">
        <f>IF(#REF!,"AAAAAHW+r7g=",0)</f>
        <v>#REF!</v>
      </c>
      <c r="GD7" t="e">
        <f>AND(#REF!,"AAAAAHW+r7k=")</f>
        <v>#REF!</v>
      </c>
      <c r="GE7" t="e">
        <f>AND(#REF!,"AAAAAHW+r7o=")</f>
        <v>#REF!</v>
      </c>
      <c r="GF7" t="e">
        <f>AND(#REF!,"AAAAAHW+r7s=")</f>
        <v>#REF!</v>
      </c>
      <c r="GG7" t="e">
        <f>AND(#REF!,"AAAAAHW+r7w=")</f>
        <v>#REF!</v>
      </c>
      <c r="GH7" t="e">
        <f>AND(#REF!,"AAAAAHW+r70=")</f>
        <v>#REF!</v>
      </c>
      <c r="GI7" t="e">
        <f>AND(#REF!,"AAAAAHW+r74=")</f>
        <v>#REF!</v>
      </c>
      <c r="GJ7" t="e">
        <f>AND(#REF!,"AAAAAHW+r78=")</f>
        <v>#REF!</v>
      </c>
      <c r="GK7" t="e">
        <f>AND(#REF!,"AAAAAHW+r8A=")</f>
        <v>#REF!</v>
      </c>
      <c r="GL7" t="e">
        <f>AND(#REF!,"AAAAAHW+r8E=")</f>
        <v>#REF!</v>
      </c>
      <c r="GM7" t="e">
        <f>AND(#REF!,"AAAAAHW+r8I=")</f>
        <v>#REF!</v>
      </c>
      <c r="GN7" t="e">
        <f>AND(#REF!,"AAAAAHW+r8M=")</f>
        <v>#REF!</v>
      </c>
      <c r="GO7" t="e">
        <f>AND(#REF!,"AAAAAHW+r8Q=")</f>
        <v>#REF!</v>
      </c>
      <c r="GP7" t="e">
        <f>AND(#REF!,"AAAAAHW+r8U=")</f>
        <v>#REF!</v>
      </c>
      <c r="GQ7" t="e">
        <f>AND(#REF!,"AAAAAHW+r8Y=")</f>
        <v>#REF!</v>
      </c>
      <c r="GR7" t="e">
        <f>AND(#REF!,"AAAAAHW+r8c=")</f>
        <v>#REF!</v>
      </c>
      <c r="GS7" t="e">
        <f>AND(#REF!,"AAAAAHW+r8g=")</f>
        <v>#REF!</v>
      </c>
      <c r="GT7" t="e">
        <f>AND(#REF!,"AAAAAHW+r8k=")</f>
        <v>#REF!</v>
      </c>
      <c r="GU7" t="e">
        <f>AND(#REF!,"AAAAAHW+r8o=")</f>
        <v>#REF!</v>
      </c>
      <c r="GV7" t="e">
        <f>AND(#REF!,"AAAAAHW+r8s=")</f>
        <v>#REF!</v>
      </c>
      <c r="GW7" t="e">
        <f>IF(#REF!,"AAAAAHW+r8w=",0)</f>
        <v>#REF!</v>
      </c>
      <c r="GX7" t="e">
        <f>AND(#REF!,"AAAAAHW+r80=")</f>
        <v>#REF!</v>
      </c>
      <c r="GY7" t="e">
        <f>AND(#REF!,"AAAAAHW+r84=")</f>
        <v>#REF!</v>
      </c>
      <c r="GZ7" t="e">
        <f>AND(#REF!,"AAAAAHW+r88=")</f>
        <v>#REF!</v>
      </c>
      <c r="HA7" t="e">
        <f>AND(#REF!,"AAAAAHW+r9A=")</f>
        <v>#REF!</v>
      </c>
      <c r="HB7" t="e">
        <f>AND(#REF!,"AAAAAHW+r9E=")</f>
        <v>#REF!</v>
      </c>
      <c r="HC7" t="e">
        <f>AND(#REF!,"AAAAAHW+r9I=")</f>
        <v>#REF!</v>
      </c>
      <c r="HD7" t="e">
        <f>AND(#REF!,"AAAAAHW+r9M=")</f>
        <v>#REF!</v>
      </c>
      <c r="HE7" t="e">
        <f>AND(#REF!,"AAAAAHW+r9Q=")</f>
        <v>#REF!</v>
      </c>
      <c r="HF7" t="e">
        <f>AND(#REF!,"AAAAAHW+r9U=")</f>
        <v>#REF!</v>
      </c>
      <c r="HG7" t="e">
        <f>AND(#REF!,"AAAAAHW+r9Y=")</f>
        <v>#REF!</v>
      </c>
      <c r="HH7" t="e">
        <f>AND(#REF!,"AAAAAHW+r9c=")</f>
        <v>#REF!</v>
      </c>
      <c r="HI7" t="e">
        <f>AND(#REF!,"AAAAAHW+r9g=")</f>
        <v>#REF!</v>
      </c>
      <c r="HJ7" t="e">
        <f>AND(#REF!,"AAAAAHW+r9k=")</f>
        <v>#REF!</v>
      </c>
      <c r="HK7" t="e">
        <f>AND(#REF!,"AAAAAHW+r9o=")</f>
        <v>#REF!</v>
      </c>
      <c r="HL7" t="e">
        <f>AND(#REF!,"AAAAAHW+r9s=")</f>
        <v>#REF!</v>
      </c>
      <c r="HM7" t="e">
        <f>AND(#REF!,"AAAAAHW+r9w=")</f>
        <v>#REF!</v>
      </c>
      <c r="HN7" t="e">
        <f>AND(#REF!,"AAAAAHW+r90=")</f>
        <v>#REF!</v>
      </c>
      <c r="HO7" t="e">
        <f>AND(#REF!,"AAAAAHW+r94=")</f>
        <v>#REF!</v>
      </c>
      <c r="HP7" t="e">
        <f>AND(#REF!,"AAAAAHW+r98=")</f>
        <v>#REF!</v>
      </c>
      <c r="HQ7" t="e">
        <f>IF(#REF!,"AAAAAHW+r+A=",0)</f>
        <v>#REF!</v>
      </c>
      <c r="HR7" t="e">
        <f>AND(#REF!,"AAAAAHW+r+E=")</f>
        <v>#REF!</v>
      </c>
      <c r="HS7" t="e">
        <f>AND(#REF!,"AAAAAHW+r+I=")</f>
        <v>#REF!</v>
      </c>
      <c r="HT7" t="e">
        <f>AND(#REF!,"AAAAAHW+r+M=")</f>
        <v>#REF!</v>
      </c>
      <c r="HU7" t="e">
        <f>AND(#REF!,"AAAAAHW+r+Q=")</f>
        <v>#REF!</v>
      </c>
      <c r="HV7" t="e">
        <f>AND(#REF!,"AAAAAHW+r+U=")</f>
        <v>#REF!</v>
      </c>
      <c r="HW7" t="e">
        <f>AND(#REF!,"AAAAAHW+r+Y=")</f>
        <v>#REF!</v>
      </c>
      <c r="HX7" t="e">
        <f>AND(#REF!,"AAAAAHW+r+c=")</f>
        <v>#REF!</v>
      </c>
      <c r="HY7" t="e">
        <f>AND(#REF!,"AAAAAHW+r+g=")</f>
        <v>#REF!</v>
      </c>
      <c r="HZ7" t="e">
        <f>AND(#REF!,"AAAAAHW+r+k=")</f>
        <v>#REF!</v>
      </c>
      <c r="IA7" t="e">
        <f>AND(#REF!,"AAAAAHW+r+o=")</f>
        <v>#REF!</v>
      </c>
      <c r="IB7" t="e">
        <f>AND(#REF!,"AAAAAHW+r+s=")</f>
        <v>#REF!</v>
      </c>
      <c r="IC7" t="e">
        <f>AND(#REF!,"AAAAAHW+r+w=")</f>
        <v>#REF!</v>
      </c>
      <c r="ID7" t="e">
        <f>AND(#REF!,"AAAAAHW+r+0=")</f>
        <v>#REF!</v>
      </c>
      <c r="IE7" t="e">
        <f>AND(#REF!,"AAAAAHW+r+4=")</f>
        <v>#REF!</v>
      </c>
      <c r="IF7" t="e">
        <f>AND(#REF!,"AAAAAHW+r+8=")</f>
        <v>#REF!</v>
      </c>
      <c r="IG7" t="e">
        <f>AND(#REF!,"AAAAAHW+r/A=")</f>
        <v>#REF!</v>
      </c>
      <c r="IH7" t="e">
        <f>AND(#REF!,"AAAAAHW+r/E=")</f>
        <v>#REF!</v>
      </c>
      <c r="II7" t="e">
        <f>AND(#REF!,"AAAAAHW+r/I=")</f>
        <v>#REF!</v>
      </c>
      <c r="IJ7" t="e">
        <f>AND(#REF!,"AAAAAHW+r/M=")</f>
        <v>#REF!</v>
      </c>
      <c r="IK7" t="e">
        <f>IF(#REF!,"AAAAAHW+r/Q=",0)</f>
        <v>#REF!</v>
      </c>
      <c r="IL7" t="e">
        <f>AND(#REF!,"AAAAAHW+r/U=")</f>
        <v>#REF!</v>
      </c>
      <c r="IM7" t="e">
        <f>AND(#REF!,"AAAAAHW+r/Y=")</f>
        <v>#REF!</v>
      </c>
      <c r="IN7" t="e">
        <f>AND(#REF!,"AAAAAHW+r/c=")</f>
        <v>#REF!</v>
      </c>
      <c r="IO7" t="e">
        <f>AND(#REF!,"AAAAAHW+r/g=")</f>
        <v>#REF!</v>
      </c>
      <c r="IP7" t="e">
        <f>AND(#REF!,"AAAAAHW+r/k=")</f>
        <v>#REF!</v>
      </c>
      <c r="IQ7" t="e">
        <f>AND(#REF!,"AAAAAHW+r/o=")</f>
        <v>#REF!</v>
      </c>
      <c r="IR7" t="e">
        <f>AND(#REF!,"AAAAAHW+r/s=")</f>
        <v>#REF!</v>
      </c>
      <c r="IS7" t="e">
        <f>AND(#REF!,"AAAAAHW+r/w=")</f>
        <v>#REF!</v>
      </c>
      <c r="IT7" t="e">
        <f>AND(#REF!,"AAAAAHW+r/0=")</f>
        <v>#REF!</v>
      </c>
      <c r="IU7" t="e">
        <f>AND(#REF!,"AAAAAHW+r/4=")</f>
        <v>#REF!</v>
      </c>
      <c r="IV7" t="e">
        <f>AND(#REF!,"AAAAAHW+r/8=")</f>
        <v>#REF!</v>
      </c>
    </row>
    <row r="8" spans="1:256" x14ac:dyDescent="0.15">
      <c r="A8" t="e">
        <f>AND(#REF!,"AAAAABesawA=")</f>
        <v>#REF!</v>
      </c>
      <c r="B8" t="e">
        <f>AND(#REF!,"AAAAABesawE=")</f>
        <v>#REF!</v>
      </c>
      <c r="C8" t="e">
        <f>AND(#REF!,"AAAAABesawI=")</f>
        <v>#REF!</v>
      </c>
      <c r="D8" t="e">
        <f>AND(#REF!,"AAAAABesawM=")</f>
        <v>#REF!</v>
      </c>
      <c r="E8" t="e">
        <f>AND(#REF!,"AAAAABesawQ=")</f>
        <v>#REF!</v>
      </c>
      <c r="F8" t="e">
        <f>AND(#REF!,"AAAAABesawU=")</f>
        <v>#REF!</v>
      </c>
      <c r="G8" t="e">
        <f>AND(#REF!,"AAAAABesawY=")</f>
        <v>#REF!</v>
      </c>
      <c r="H8" t="e">
        <f>AND(#REF!,"AAAAABesawc=")</f>
        <v>#REF!</v>
      </c>
      <c r="I8" t="e">
        <f>IF(#REF!,"AAAAABesawg=",0)</f>
        <v>#REF!</v>
      </c>
      <c r="J8" t="e">
        <f>AND(#REF!,"AAAAABesawk=")</f>
        <v>#REF!</v>
      </c>
      <c r="K8" t="e">
        <f>AND(#REF!,"AAAAABesawo=")</f>
        <v>#REF!</v>
      </c>
      <c r="L8" t="e">
        <f>AND(#REF!,"AAAAABesaws=")</f>
        <v>#REF!</v>
      </c>
      <c r="M8" t="e">
        <f>AND(#REF!,"AAAAABesaww=")</f>
        <v>#REF!</v>
      </c>
      <c r="N8" t="e">
        <f>AND(#REF!,"AAAAABesaw0=")</f>
        <v>#REF!</v>
      </c>
      <c r="O8" t="e">
        <f>AND(#REF!,"AAAAABesaw4=")</f>
        <v>#REF!</v>
      </c>
      <c r="P8" t="e">
        <f>AND(#REF!,"AAAAABesaw8=")</f>
        <v>#REF!</v>
      </c>
      <c r="Q8" t="e">
        <f>AND(#REF!,"AAAAABesaxA=")</f>
        <v>#REF!</v>
      </c>
      <c r="R8" t="e">
        <f>AND(#REF!,"AAAAABesaxE=")</f>
        <v>#REF!</v>
      </c>
      <c r="S8" t="e">
        <f>AND(#REF!,"AAAAABesaxI=")</f>
        <v>#REF!</v>
      </c>
      <c r="T8" t="e">
        <f>AND(#REF!,"AAAAABesaxM=")</f>
        <v>#REF!</v>
      </c>
      <c r="U8" t="e">
        <f>AND(#REF!,"AAAAABesaxQ=")</f>
        <v>#REF!</v>
      </c>
      <c r="V8" t="e">
        <f>AND(#REF!,"AAAAABesaxU=")</f>
        <v>#REF!</v>
      </c>
      <c r="W8" t="e">
        <f>AND(#REF!,"AAAAABesaxY=")</f>
        <v>#REF!</v>
      </c>
      <c r="X8" t="e">
        <f>AND(#REF!,"AAAAABesaxc=")</f>
        <v>#REF!</v>
      </c>
      <c r="Y8" t="e">
        <f>AND(#REF!,"AAAAABesaxg=")</f>
        <v>#REF!</v>
      </c>
      <c r="Z8" t="e">
        <f>AND(#REF!,"AAAAABesaxk=")</f>
        <v>#REF!</v>
      </c>
      <c r="AA8" t="e">
        <f>AND(#REF!,"AAAAABesaxo=")</f>
        <v>#REF!</v>
      </c>
      <c r="AB8" t="e">
        <f>AND(#REF!,"AAAAABesaxs=")</f>
        <v>#REF!</v>
      </c>
      <c r="AC8" t="e">
        <f>IF(#REF!,"AAAAABesaxw=",0)</f>
        <v>#REF!</v>
      </c>
      <c r="AD8" t="e">
        <f>AND(#REF!,"AAAAABesax0=")</f>
        <v>#REF!</v>
      </c>
      <c r="AE8" t="e">
        <f>AND(#REF!,"AAAAABesax4=")</f>
        <v>#REF!</v>
      </c>
      <c r="AF8" t="e">
        <f>AND(#REF!,"AAAAABesax8=")</f>
        <v>#REF!</v>
      </c>
      <c r="AG8" t="e">
        <f>AND(#REF!,"AAAAABesayA=")</f>
        <v>#REF!</v>
      </c>
      <c r="AH8" t="e">
        <f>AND(#REF!,"AAAAABesayE=")</f>
        <v>#REF!</v>
      </c>
      <c r="AI8" t="e">
        <f>AND(#REF!,"AAAAABesayI=")</f>
        <v>#REF!</v>
      </c>
      <c r="AJ8" t="e">
        <f>AND(#REF!,"AAAAABesayM=")</f>
        <v>#REF!</v>
      </c>
      <c r="AK8" t="e">
        <f>AND(#REF!,"AAAAABesayQ=")</f>
        <v>#REF!</v>
      </c>
      <c r="AL8" t="e">
        <f>AND(#REF!,"AAAAABesayU=")</f>
        <v>#REF!</v>
      </c>
      <c r="AM8" t="e">
        <f>AND(#REF!,"AAAAABesayY=")</f>
        <v>#REF!</v>
      </c>
      <c r="AN8" t="e">
        <f>AND(#REF!,"AAAAABesayc=")</f>
        <v>#REF!</v>
      </c>
      <c r="AO8" t="e">
        <f>AND(#REF!,"AAAAABesayg=")</f>
        <v>#REF!</v>
      </c>
      <c r="AP8" t="e">
        <f>AND(#REF!,"AAAAABesayk=")</f>
        <v>#REF!</v>
      </c>
      <c r="AQ8" t="e">
        <f>AND(#REF!,"AAAAABesayo=")</f>
        <v>#REF!</v>
      </c>
      <c r="AR8" t="e">
        <f>AND(#REF!,"AAAAABesays=")</f>
        <v>#REF!</v>
      </c>
      <c r="AS8" t="e">
        <f>AND(#REF!,"AAAAABesayw=")</f>
        <v>#REF!</v>
      </c>
      <c r="AT8" t="e">
        <f>AND(#REF!,"AAAAABesay0=")</f>
        <v>#REF!</v>
      </c>
      <c r="AU8" t="e">
        <f>AND(#REF!,"AAAAABesay4=")</f>
        <v>#REF!</v>
      </c>
      <c r="AV8" t="e">
        <f>AND(#REF!,"AAAAABesay8=")</f>
        <v>#REF!</v>
      </c>
      <c r="AW8" t="e">
        <f>IF(#REF!,"AAAAABesazA=",0)</f>
        <v>#REF!</v>
      </c>
      <c r="AX8" t="e">
        <f>AND(#REF!,"AAAAABesazE=")</f>
        <v>#REF!</v>
      </c>
      <c r="AY8" t="e">
        <f>AND(#REF!,"AAAAABesazI=")</f>
        <v>#REF!</v>
      </c>
      <c r="AZ8" t="e">
        <f>AND(#REF!,"AAAAABesazM=")</f>
        <v>#REF!</v>
      </c>
      <c r="BA8" t="e">
        <f>AND(#REF!,"AAAAABesazQ=")</f>
        <v>#REF!</v>
      </c>
      <c r="BB8" t="e">
        <f>AND(#REF!,"AAAAABesazU=")</f>
        <v>#REF!</v>
      </c>
      <c r="BC8" t="e">
        <f>AND(#REF!,"AAAAABesazY=")</f>
        <v>#REF!</v>
      </c>
      <c r="BD8" t="e">
        <f>AND(#REF!,"AAAAABesazc=")</f>
        <v>#REF!</v>
      </c>
      <c r="BE8" t="e">
        <f>AND(#REF!,"AAAAABesazg=")</f>
        <v>#REF!</v>
      </c>
      <c r="BF8" t="e">
        <f>AND(#REF!,"AAAAABesazk=")</f>
        <v>#REF!</v>
      </c>
      <c r="BG8" t="e">
        <f>AND(#REF!,"AAAAABesazo=")</f>
        <v>#REF!</v>
      </c>
      <c r="BH8" t="e">
        <f>AND(#REF!,"AAAAABesazs=")</f>
        <v>#REF!</v>
      </c>
      <c r="BI8" t="e">
        <f>AND(#REF!,"AAAAABesazw=")</f>
        <v>#REF!</v>
      </c>
      <c r="BJ8" t="e">
        <f>AND(#REF!,"AAAAABesaz0=")</f>
        <v>#REF!</v>
      </c>
      <c r="BK8" t="e">
        <f>AND(#REF!,"AAAAABesaz4=")</f>
        <v>#REF!</v>
      </c>
      <c r="BL8" t="e">
        <f>AND(#REF!,"AAAAABesaz8=")</f>
        <v>#REF!</v>
      </c>
      <c r="BM8" t="e">
        <f>AND(#REF!,"AAAAABesa0A=")</f>
        <v>#REF!</v>
      </c>
      <c r="BN8" t="e">
        <f>AND(#REF!,"AAAAABesa0E=")</f>
        <v>#REF!</v>
      </c>
      <c r="BO8" t="e">
        <f>AND(#REF!,"AAAAABesa0I=")</f>
        <v>#REF!</v>
      </c>
      <c r="BP8" t="e">
        <f>AND(#REF!,"AAAAABesa0M=")</f>
        <v>#REF!</v>
      </c>
      <c r="BQ8" t="e">
        <f>IF(#REF!,"AAAAABesa0Q=",0)</f>
        <v>#REF!</v>
      </c>
      <c r="BR8" t="e">
        <f>AND(#REF!,"AAAAABesa0U=")</f>
        <v>#REF!</v>
      </c>
      <c r="BS8" t="e">
        <f>AND(#REF!,"AAAAABesa0Y=")</f>
        <v>#REF!</v>
      </c>
      <c r="BT8" t="e">
        <f>AND(#REF!,"AAAAABesa0c=")</f>
        <v>#REF!</v>
      </c>
      <c r="BU8" t="e">
        <f>AND(#REF!,"AAAAABesa0g=")</f>
        <v>#REF!</v>
      </c>
      <c r="BV8" t="e">
        <f>AND(#REF!,"AAAAABesa0k=")</f>
        <v>#REF!</v>
      </c>
      <c r="BW8" t="e">
        <f>AND(#REF!,"AAAAABesa0o=")</f>
        <v>#REF!</v>
      </c>
      <c r="BX8" t="e">
        <f>AND(#REF!,"AAAAABesa0s=")</f>
        <v>#REF!</v>
      </c>
      <c r="BY8" t="e">
        <f>AND(#REF!,"AAAAABesa0w=")</f>
        <v>#REF!</v>
      </c>
      <c r="BZ8" t="e">
        <f>AND(#REF!,"AAAAABesa00=")</f>
        <v>#REF!</v>
      </c>
      <c r="CA8" t="e">
        <f>AND(#REF!,"AAAAABesa04=")</f>
        <v>#REF!</v>
      </c>
      <c r="CB8" t="e">
        <f>AND(#REF!,"AAAAABesa08=")</f>
        <v>#REF!</v>
      </c>
      <c r="CC8" t="e">
        <f>AND(#REF!,"AAAAABesa1A=")</f>
        <v>#REF!</v>
      </c>
      <c r="CD8" t="e">
        <f>AND(#REF!,"AAAAABesa1E=")</f>
        <v>#REF!</v>
      </c>
      <c r="CE8" t="e">
        <f>AND(#REF!,"AAAAABesa1I=")</f>
        <v>#REF!</v>
      </c>
      <c r="CF8" t="e">
        <f>AND(#REF!,"AAAAABesa1M=")</f>
        <v>#REF!</v>
      </c>
      <c r="CG8" t="e">
        <f>AND(#REF!,"AAAAABesa1Q=")</f>
        <v>#REF!</v>
      </c>
      <c r="CH8" t="e">
        <f>AND(#REF!,"AAAAABesa1U=")</f>
        <v>#REF!</v>
      </c>
      <c r="CI8" t="e">
        <f>AND(#REF!,"AAAAABesa1Y=")</f>
        <v>#REF!</v>
      </c>
      <c r="CJ8" t="e">
        <f>AND(#REF!,"AAAAABesa1c=")</f>
        <v>#REF!</v>
      </c>
      <c r="CK8" t="e">
        <f>IF(#REF!,"AAAAABesa1g=",0)</f>
        <v>#REF!</v>
      </c>
      <c r="CL8" t="e">
        <f>AND(#REF!,"AAAAABesa1k=")</f>
        <v>#REF!</v>
      </c>
      <c r="CM8" t="e">
        <f>AND(#REF!,"AAAAABesa1o=")</f>
        <v>#REF!</v>
      </c>
      <c r="CN8" t="e">
        <f>AND(#REF!,"AAAAABesa1s=")</f>
        <v>#REF!</v>
      </c>
      <c r="CO8" t="e">
        <f>AND(#REF!,"AAAAABesa1w=")</f>
        <v>#REF!</v>
      </c>
      <c r="CP8" t="e">
        <f>AND(#REF!,"AAAAABesa10=")</f>
        <v>#REF!</v>
      </c>
      <c r="CQ8" t="e">
        <f>AND(#REF!,"AAAAABesa14=")</f>
        <v>#REF!</v>
      </c>
      <c r="CR8" t="e">
        <f>AND(#REF!,"AAAAABesa18=")</f>
        <v>#REF!</v>
      </c>
      <c r="CS8" t="e">
        <f>AND(#REF!,"AAAAABesa2A=")</f>
        <v>#REF!</v>
      </c>
      <c r="CT8" t="e">
        <f>AND(#REF!,"AAAAABesa2E=")</f>
        <v>#REF!</v>
      </c>
      <c r="CU8" t="e">
        <f>AND(#REF!,"AAAAABesa2I=")</f>
        <v>#REF!</v>
      </c>
      <c r="CV8" t="e">
        <f>AND(#REF!,"AAAAABesa2M=")</f>
        <v>#REF!</v>
      </c>
      <c r="CW8" t="e">
        <f>AND(#REF!,"AAAAABesa2Q=")</f>
        <v>#REF!</v>
      </c>
      <c r="CX8" t="e">
        <f>AND(#REF!,"AAAAABesa2U=")</f>
        <v>#REF!</v>
      </c>
      <c r="CY8" t="e">
        <f>AND(#REF!,"AAAAABesa2Y=")</f>
        <v>#REF!</v>
      </c>
      <c r="CZ8" t="e">
        <f>AND(#REF!,"AAAAABesa2c=")</f>
        <v>#REF!</v>
      </c>
      <c r="DA8" t="e">
        <f>AND(#REF!,"AAAAABesa2g=")</f>
        <v>#REF!</v>
      </c>
      <c r="DB8" t="e">
        <f>AND(#REF!,"AAAAABesa2k=")</f>
        <v>#REF!</v>
      </c>
      <c r="DC8" t="e">
        <f>AND(#REF!,"AAAAABesa2o=")</f>
        <v>#REF!</v>
      </c>
      <c r="DD8" t="e">
        <f>AND(#REF!,"AAAAABesa2s=")</f>
        <v>#REF!</v>
      </c>
      <c r="DE8" t="e">
        <f>IF(#REF!,"AAAAABesa2w=",0)</f>
        <v>#REF!</v>
      </c>
      <c r="DF8" t="e">
        <f>AND(#REF!,"AAAAABesa20=")</f>
        <v>#REF!</v>
      </c>
      <c r="DG8" t="e">
        <f>AND(#REF!,"AAAAABesa24=")</f>
        <v>#REF!</v>
      </c>
      <c r="DH8" t="e">
        <f>AND(#REF!,"AAAAABesa28=")</f>
        <v>#REF!</v>
      </c>
      <c r="DI8" t="e">
        <f>AND(#REF!,"AAAAABesa3A=")</f>
        <v>#REF!</v>
      </c>
      <c r="DJ8" t="e">
        <f>AND(#REF!,"AAAAABesa3E=")</f>
        <v>#REF!</v>
      </c>
      <c r="DK8" t="e">
        <f>AND(#REF!,"AAAAABesa3I=")</f>
        <v>#REF!</v>
      </c>
      <c r="DL8" t="e">
        <f>AND(#REF!,"AAAAABesa3M=")</f>
        <v>#REF!</v>
      </c>
      <c r="DM8" t="e">
        <f>AND(#REF!,"AAAAABesa3Q=")</f>
        <v>#REF!</v>
      </c>
      <c r="DN8" t="e">
        <f>AND(#REF!,"AAAAABesa3U=")</f>
        <v>#REF!</v>
      </c>
      <c r="DO8" t="e">
        <f>AND(#REF!,"AAAAABesa3Y=")</f>
        <v>#REF!</v>
      </c>
      <c r="DP8" t="e">
        <f>AND(#REF!,"AAAAABesa3c=")</f>
        <v>#REF!</v>
      </c>
      <c r="DQ8" t="e">
        <f>AND(#REF!,"AAAAABesa3g=")</f>
        <v>#REF!</v>
      </c>
      <c r="DR8" t="e">
        <f>AND(#REF!,"AAAAABesa3k=")</f>
        <v>#REF!</v>
      </c>
      <c r="DS8" t="e">
        <f>AND(#REF!,"AAAAABesa3o=")</f>
        <v>#REF!</v>
      </c>
      <c r="DT8" t="e">
        <f>AND(#REF!,"AAAAABesa3s=")</f>
        <v>#REF!</v>
      </c>
      <c r="DU8" t="e">
        <f>AND(#REF!,"AAAAABesa3w=")</f>
        <v>#REF!</v>
      </c>
      <c r="DV8" t="e">
        <f>AND(#REF!,"AAAAABesa30=")</f>
        <v>#REF!</v>
      </c>
      <c r="DW8" t="e">
        <f>AND(#REF!,"AAAAABesa34=")</f>
        <v>#REF!</v>
      </c>
      <c r="DX8" t="e">
        <f>AND(#REF!,"AAAAABesa38=")</f>
        <v>#REF!</v>
      </c>
      <c r="DY8" t="e">
        <f>IF(#REF!,"AAAAABesa4A=",0)</f>
        <v>#REF!</v>
      </c>
      <c r="DZ8" t="e">
        <f>AND(#REF!,"AAAAABesa4E=")</f>
        <v>#REF!</v>
      </c>
      <c r="EA8" t="e">
        <f>AND(#REF!,"AAAAABesa4I=")</f>
        <v>#REF!</v>
      </c>
      <c r="EB8" t="e">
        <f>AND(#REF!,"AAAAABesa4M=")</f>
        <v>#REF!</v>
      </c>
      <c r="EC8" t="e">
        <f>AND(#REF!,"AAAAABesa4Q=")</f>
        <v>#REF!</v>
      </c>
      <c r="ED8" t="e">
        <f>AND(#REF!,"AAAAABesa4U=")</f>
        <v>#REF!</v>
      </c>
      <c r="EE8" t="e">
        <f>AND(#REF!,"AAAAABesa4Y=")</f>
        <v>#REF!</v>
      </c>
      <c r="EF8" t="e">
        <f>AND(#REF!,"AAAAABesa4c=")</f>
        <v>#REF!</v>
      </c>
      <c r="EG8" t="e">
        <f>AND(#REF!,"AAAAABesa4g=")</f>
        <v>#REF!</v>
      </c>
      <c r="EH8" t="e">
        <f>AND(#REF!,"AAAAABesa4k=")</f>
        <v>#REF!</v>
      </c>
      <c r="EI8" t="e">
        <f>AND(#REF!,"AAAAABesa4o=")</f>
        <v>#REF!</v>
      </c>
      <c r="EJ8" t="e">
        <f>AND(#REF!,"AAAAABesa4s=")</f>
        <v>#REF!</v>
      </c>
      <c r="EK8" t="e">
        <f>AND(#REF!,"AAAAABesa4w=")</f>
        <v>#REF!</v>
      </c>
      <c r="EL8" t="e">
        <f>AND(#REF!,"AAAAABesa40=")</f>
        <v>#REF!</v>
      </c>
      <c r="EM8" t="e">
        <f>AND(#REF!,"AAAAABesa44=")</f>
        <v>#REF!</v>
      </c>
      <c r="EN8" t="e">
        <f>AND(#REF!,"AAAAABesa48=")</f>
        <v>#REF!</v>
      </c>
      <c r="EO8" t="e">
        <f>AND(#REF!,"AAAAABesa5A=")</f>
        <v>#REF!</v>
      </c>
      <c r="EP8" t="e">
        <f>AND(#REF!,"AAAAABesa5E=")</f>
        <v>#REF!</v>
      </c>
      <c r="EQ8" t="e">
        <f>AND(#REF!,"AAAAABesa5I=")</f>
        <v>#REF!</v>
      </c>
      <c r="ER8" t="e">
        <f>AND(#REF!,"AAAAABesa5M=")</f>
        <v>#REF!</v>
      </c>
      <c r="ES8" t="e">
        <f>IF(#REF!,"AAAAABesa5Q=",0)</f>
        <v>#REF!</v>
      </c>
      <c r="ET8" t="e">
        <f>AND(#REF!,"AAAAABesa5U=")</f>
        <v>#REF!</v>
      </c>
      <c r="EU8" t="e">
        <f>AND(#REF!,"AAAAABesa5Y=")</f>
        <v>#REF!</v>
      </c>
      <c r="EV8" t="e">
        <f>AND(#REF!,"AAAAABesa5c=")</f>
        <v>#REF!</v>
      </c>
      <c r="EW8" t="e">
        <f>AND(#REF!,"AAAAABesa5g=")</f>
        <v>#REF!</v>
      </c>
      <c r="EX8" t="e">
        <f>AND(#REF!,"AAAAABesa5k=")</f>
        <v>#REF!</v>
      </c>
      <c r="EY8" t="e">
        <f>AND(#REF!,"AAAAABesa5o=")</f>
        <v>#REF!</v>
      </c>
      <c r="EZ8" t="e">
        <f>AND(#REF!,"AAAAABesa5s=")</f>
        <v>#REF!</v>
      </c>
      <c r="FA8" t="e">
        <f>AND(#REF!,"AAAAABesa5w=")</f>
        <v>#REF!</v>
      </c>
      <c r="FB8" t="e">
        <f>AND(#REF!,"AAAAABesa50=")</f>
        <v>#REF!</v>
      </c>
      <c r="FC8" t="e">
        <f>AND(#REF!,"AAAAABesa54=")</f>
        <v>#REF!</v>
      </c>
      <c r="FD8" t="e">
        <f>AND(#REF!,"AAAAABesa58=")</f>
        <v>#REF!</v>
      </c>
      <c r="FE8" t="e">
        <f>AND(#REF!,"AAAAABesa6A=")</f>
        <v>#REF!</v>
      </c>
      <c r="FF8" t="e">
        <f>AND(#REF!,"AAAAABesa6E=")</f>
        <v>#REF!</v>
      </c>
      <c r="FG8" t="e">
        <f>AND(#REF!,"AAAAABesa6I=")</f>
        <v>#REF!</v>
      </c>
      <c r="FH8" t="e">
        <f>AND(#REF!,"AAAAABesa6M=")</f>
        <v>#REF!</v>
      </c>
      <c r="FI8" t="e">
        <f>AND(#REF!,"AAAAABesa6Q=")</f>
        <v>#REF!</v>
      </c>
      <c r="FJ8" t="e">
        <f>AND(#REF!,"AAAAABesa6U=")</f>
        <v>#REF!</v>
      </c>
      <c r="FK8" t="e">
        <f>AND(#REF!,"AAAAABesa6Y=")</f>
        <v>#REF!</v>
      </c>
      <c r="FL8" t="e">
        <f>AND(#REF!,"AAAAABesa6c=")</f>
        <v>#REF!</v>
      </c>
      <c r="FM8" t="e">
        <f>IF(#REF!,"AAAAABesa6g=",0)</f>
        <v>#REF!</v>
      </c>
      <c r="FN8" t="e">
        <f>AND(#REF!,"AAAAABesa6k=")</f>
        <v>#REF!</v>
      </c>
      <c r="FO8" t="e">
        <f>AND(#REF!,"AAAAABesa6o=")</f>
        <v>#REF!</v>
      </c>
      <c r="FP8" t="e">
        <f>AND(#REF!,"AAAAABesa6s=")</f>
        <v>#REF!</v>
      </c>
      <c r="FQ8" t="e">
        <f>AND(#REF!,"AAAAABesa6w=")</f>
        <v>#REF!</v>
      </c>
      <c r="FR8" t="e">
        <f>AND(#REF!,"AAAAABesa60=")</f>
        <v>#REF!</v>
      </c>
      <c r="FS8" t="e">
        <f>AND(#REF!,"AAAAABesa64=")</f>
        <v>#REF!</v>
      </c>
      <c r="FT8" t="e">
        <f>AND(#REF!,"AAAAABesa68=")</f>
        <v>#REF!</v>
      </c>
      <c r="FU8" t="e">
        <f>AND(#REF!,"AAAAABesa7A=")</f>
        <v>#REF!</v>
      </c>
      <c r="FV8" t="e">
        <f>AND(#REF!,"AAAAABesa7E=")</f>
        <v>#REF!</v>
      </c>
      <c r="FW8" t="e">
        <f>AND(#REF!,"AAAAABesa7I=")</f>
        <v>#REF!</v>
      </c>
      <c r="FX8" t="e">
        <f>AND(#REF!,"AAAAABesa7M=")</f>
        <v>#REF!</v>
      </c>
      <c r="FY8" t="e">
        <f>AND(#REF!,"AAAAABesa7Q=")</f>
        <v>#REF!</v>
      </c>
      <c r="FZ8" t="e">
        <f>AND(#REF!,"AAAAABesa7U=")</f>
        <v>#REF!</v>
      </c>
      <c r="GA8" t="e">
        <f>AND(#REF!,"AAAAABesa7Y=")</f>
        <v>#REF!</v>
      </c>
      <c r="GB8" t="e">
        <f>AND(#REF!,"AAAAABesa7c=")</f>
        <v>#REF!</v>
      </c>
      <c r="GC8" t="e">
        <f>AND(#REF!,"AAAAABesa7g=")</f>
        <v>#REF!</v>
      </c>
      <c r="GD8" t="e">
        <f>AND(#REF!,"AAAAABesa7k=")</f>
        <v>#REF!</v>
      </c>
      <c r="GE8" t="e">
        <f>AND(#REF!,"AAAAABesa7o=")</f>
        <v>#REF!</v>
      </c>
      <c r="GF8" t="e">
        <f>AND(#REF!,"AAAAABesa7s=")</f>
        <v>#REF!</v>
      </c>
      <c r="GG8" t="e">
        <f>IF(#REF!,"AAAAABesa7w=",0)</f>
        <v>#REF!</v>
      </c>
      <c r="GH8" t="e">
        <f>AND(#REF!,"AAAAABesa70=")</f>
        <v>#REF!</v>
      </c>
      <c r="GI8" t="e">
        <f>AND(#REF!,"AAAAABesa74=")</f>
        <v>#REF!</v>
      </c>
      <c r="GJ8" t="e">
        <f>AND(#REF!,"AAAAABesa78=")</f>
        <v>#REF!</v>
      </c>
      <c r="GK8" t="e">
        <f>AND(#REF!,"AAAAABesa8A=")</f>
        <v>#REF!</v>
      </c>
      <c r="GL8" t="e">
        <f>AND(#REF!,"AAAAABesa8E=")</f>
        <v>#REF!</v>
      </c>
      <c r="GM8" t="e">
        <f>AND(#REF!,"AAAAABesa8I=")</f>
        <v>#REF!</v>
      </c>
      <c r="GN8" t="e">
        <f>AND(#REF!,"AAAAABesa8M=")</f>
        <v>#REF!</v>
      </c>
      <c r="GO8" t="e">
        <f>AND(#REF!,"AAAAABesa8Q=")</f>
        <v>#REF!</v>
      </c>
      <c r="GP8" t="e">
        <f>AND(#REF!,"AAAAABesa8U=")</f>
        <v>#REF!</v>
      </c>
      <c r="GQ8" t="e">
        <f>AND(#REF!,"AAAAABesa8Y=")</f>
        <v>#REF!</v>
      </c>
      <c r="GR8" t="e">
        <f>AND(#REF!,"AAAAABesa8c=")</f>
        <v>#REF!</v>
      </c>
      <c r="GS8" t="e">
        <f>AND(#REF!,"AAAAABesa8g=")</f>
        <v>#REF!</v>
      </c>
      <c r="GT8" t="e">
        <f>AND(#REF!,"AAAAABesa8k=")</f>
        <v>#REF!</v>
      </c>
      <c r="GU8" t="e">
        <f>AND(#REF!,"AAAAABesa8o=")</f>
        <v>#REF!</v>
      </c>
      <c r="GV8" t="e">
        <f>AND(#REF!,"AAAAABesa8s=")</f>
        <v>#REF!</v>
      </c>
      <c r="GW8" t="e">
        <f>AND(#REF!,"AAAAABesa8w=")</f>
        <v>#REF!</v>
      </c>
      <c r="GX8" t="e">
        <f>AND(#REF!,"AAAAABesa80=")</f>
        <v>#REF!</v>
      </c>
      <c r="GY8" t="e">
        <f>AND(#REF!,"AAAAABesa84=")</f>
        <v>#REF!</v>
      </c>
      <c r="GZ8" t="e">
        <f>AND(#REF!,"AAAAABesa88=")</f>
        <v>#REF!</v>
      </c>
      <c r="HA8" t="e">
        <f>IF(#REF!,"AAAAABesa9A=",0)</f>
        <v>#REF!</v>
      </c>
      <c r="HB8" t="e">
        <f>AND(#REF!,"AAAAABesa9E=")</f>
        <v>#REF!</v>
      </c>
      <c r="HC8" t="e">
        <f>AND(#REF!,"AAAAABesa9I=")</f>
        <v>#REF!</v>
      </c>
      <c r="HD8" t="e">
        <f>AND(#REF!,"AAAAABesa9M=")</f>
        <v>#REF!</v>
      </c>
      <c r="HE8" t="e">
        <f>AND(#REF!,"AAAAABesa9Q=")</f>
        <v>#REF!</v>
      </c>
      <c r="HF8" t="e">
        <f>AND(#REF!,"AAAAABesa9U=")</f>
        <v>#REF!</v>
      </c>
      <c r="HG8" t="e">
        <f>AND(#REF!,"AAAAABesa9Y=")</f>
        <v>#REF!</v>
      </c>
      <c r="HH8" t="e">
        <f>AND(#REF!,"AAAAABesa9c=")</f>
        <v>#REF!</v>
      </c>
      <c r="HI8" t="e">
        <f>AND(#REF!,"AAAAABesa9g=")</f>
        <v>#REF!</v>
      </c>
      <c r="HJ8" t="e">
        <f>AND(#REF!,"AAAAABesa9k=")</f>
        <v>#REF!</v>
      </c>
      <c r="HK8" t="e">
        <f>AND(#REF!,"AAAAABesa9o=")</f>
        <v>#REF!</v>
      </c>
      <c r="HL8" t="e">
        <f>AND(#REF!,"AAAAABesa9s=")</f>
        <v>#REF!</v>
      </c>
      <c r="HM8" t="e">
        <f>AND(#REF!,"AAAAABesa9w=")</f>
        <v>#REF!</v>
      </c>
      <c r="HN8" t="e">
        <f>AND(#REF!,"AAAAABesa90=")</f>
        <v>#REF!</v>
      </c>
      <c r="HO8" t="e">
        <f>AND(#REF!,"AAAAABesa94=")</f>
        <v>#REF!</v>
      </c>
      <c r="HP8" t="e">
        <f>AND(#REF!,"AAAAABesa98=")</f>
        <v>#REF!</v>
      </c>
      <c r="HQ8" t="e">
        <f>AND(#REF!,"AAAAABesa+A=")</f>
        <v>#REF!</v>
      </c>
      <c r="HR8" t="e">
        <f>AND(#REF!,"AAAAABesa+E=")</f>
        <v>#REF!</v>
      </c>
      <c r="HS8" t="e">
        <f>AND(#REF!,"AAAAABesa+I=")</f>
        <v>#REF!</v>
      </c>
      <c r="HT8" t="e">
        <f>AND(#REF!,"AAAAABesa+M=")</f>
        <v>#REF!</v>
      </c>
      <c r="HU8" t="e">
        <f>IF(#REF!,"AAAAABesa+Q=",0)</f>
        <v>#REF!</v>
      </c>
      <c r="HV8" t="e">
        <f>AND(#REF!,"AAAAABesa+U=")</f>
        <v>#REF!</v>
      </c>
      <c r="HW8" t="e">
        <f>AND(#REF!,"AAAAABesa+Y=")</f>
        <v>#REF!</v>
      </c>
      <c r="HX8" t="e">
        <f>AND(#REF!,"AAAAABesa+c=")</f>
        <v>#REF!</v>
      </c>
      <c r="HY8" t="e">
        <f>AND(#REF!,"AAAAABesa+g=")</f>
        <v>#REF!</v>
      </c>
      <c r="HZ8" t="e">
        <f>AND(#REF!,"AAAAABesa+k=")</f>
        <v>#REF!</v>
      </c>
      <c r="IA8" t="e">
        <f>AND(#REF!,"AAAAABesa+o=")</f>
        <v>#REF!</v>
      </c>
      <c r="IB8" t="e">
        <f>AND(#REF!,"AAAAABesa+s=")</f>
        <v>#REF!</v>
      </c>
      <c r="IC8" t="e">
        <f>AND(#REF!,"AAAAABesa+w=")</f>
        <v>#REF!</v>
      </c>
      <c r="ID8" t="e">
        <f>AND(#REF!,"AAAAABesa+0=")</f>
        <v>#REF!</v>
      </c>
      <c r="IE8" t="e">
        <f>AND(#REF!,"AAAAABesa+4=")</f>
        <v>#REF!</v>
      </c>
      <c r="IF8" t="e">
        <f>AND(#REF!,"AAAAABesa+8=")</f>
        <v>#REF!</v>
      </c>
      <c r="IG8" t="e">
        <f>AND(#REF!,"AAAAABesa/A=")</f>
        <v>#REF!</v>
      </c>
      <c r="IH8" t="e">
        <f>AND(#REF!,"AAAAABesa/E=")</f>
        <v>#REF!</v>
      </c>
      <c r="II8" t="e">
        <f>AND(#REF!,"AAAAABesa/I=")</f>
        <v>#REF!</v>
      </c>
      <c r="IJ8" t="e">
        <f>AND(#REF!,"AAAAABesa/M=")</f>
        <v>#REF!</v>
      </c>
      <c r="IK8" t="e">
        <f>AND(#REF!,"AAAAABesa/Q=")</f>
        <v>#REF!</v>
      </c>
      <c r="IL8" t="e">
        <f>AND(#REF!,"AAAAABesa/U=")</f>
        <v>#REF!</v>
      </c>
      <c r="IM8" t="e">
        <f>AND(#REF!,"AAAAABesa/Y=")</f>
        <v>#REF!</v>
      </c>
      <c r="IN8" t="e">
        <f>AND(#REF!,"AAAAABesa/c=")</f>
        <v>#REF!</v>
      </c>
      <c r="IO8" t="e">
        <f>IF(#REF!,"AAAAABesa/g=",0)</f>
        <v>#REF!</v>
      </c>
      <c r="IP8" t="e">
        <f>AND(#REF!,"AAAAABesa/k=")</f>
        <v>#REF!</v>
      </c>
      <c r="IQ8" t="e">
        <f>AND(#REF!,"AAAAABesa/o=")</f>
        <v>#REF!</v>
      </c>
      <c r="IR8" t="e">
        <f>AND(#REF!,"AAAAABesa/s=")</f>
        <v>#REF!</v>
      </c>
      <c r="IS8" t="e">
        <f>AND(#REF!,"AAAAABesa/w=")</f>
        <v>#REF!</v>
      </c>
      <c r="IT8" t="e">
        <f>AND(#REF!,"AAAAABesa/0=")</f>
        <v>#REF!</v>
      </c>
      <c r="IU8" t="e">
        <f>AND(#REF!,"AAAAABesa/4=")</f>
        <v>#REF!</v>
      </c>
      <c r="IV8" t="e">
        <f>AND(#REF!,"AAAAABesa/8=")</f>
        <v>#REF!</v>
      </c>
    </row>
    <row r="9" spans="1:256" x14ac:dyDescent="0.15">
      <c r="A9" t="e">
        <f>AND(#REF!,"AAAAAH9i3gA=")</f>
        <v>#REF!</v>
      </c>
      <c r="B9" t="e">
        <f>AND(#REF!,"AAAAAH9i3gE=")</f>
        <v>#REF!</v>
      </c>
      <c r="C9" t="e">
        <f>AND(#REF!,"AAAAAH9i3gI=")</f>
        <v>#REF!</v>
      </c>
      <c r="D9" t="e">
        <f>AND(#REF!,"AAAAAH9i3gM=")</f>
        <v>#REF!</v>
      </c>
      <c r="E9" t="e">
        <f>AND(#REF!,"AAAAAH9i3gQ=")</f>
        <v>#REF!</v>
      </c>
      <c r="F9" t="e">
        <f>AND(#REF!,"AAAAAH9i3gU=")</f>
        <v>#REF!</v>
      </c>
      <c r="G9" t="e">
        <f>AND(#REF!,"AAAAAH9i3gY=")</f>
        <v>#REF!</v>
      </c>
      <c r="H9" t="e">
        <f>AND(#REF!,"AAAAAH9i3gc=")</f>
        <v>#REF!</v>
      </c>
      <c r="I9" t="e">
        <f>AND(#REF!,"AAAAAH9i3gg=")</f>
        <v>#REF!</v>
      </c>
      <c r="J9" t="e">
        <f>AND(#REF!,"AAAAAH9i3gk=")</f>
        <v>#REF!</v>
      </c>
      <c r="K9" t="e">
        <f>AND(#REF!,"AAAAAH9i3go=")</f>
        <v>#REF!</v>
      </c>
      <c r="L9" t="e">
        <f>AND(#REF!,"AAAAAH9i3gs=")</f>
        <v>#REF!</v>
      </c>
      <c r="M9" t="e">
        <f>IF(#REF!,"AAAAAH9i3gw=",0)</f>
        <v>#REF!</v>
      </c>
      <c r="N9" t="e">
        <f>AND(#REF!,"AAAAAH9i3g0=")</f>
        <v>#REF!</v>
      </c>
      <c r="O9" t="e">
        <f>AND(#REF!,"AAAAAH9i3g4=")</f>
        <v>#REF!</v>
      </c>
      <c r="P9" t="e">
        <f>AND(#REF!,"AAAAAH9i3g8=")</f>
        <v>#REF!</v>
      </c>
      <c r="Q9" t="e">
        <f>AND(#REF!,"AAAAAH9i3hA=")</f>
        <v>#REF!</v>
      </c>
      <c r="R9" t="e">
        <f>AND(#REF!,"AAAAAH9i3hE=")</f>
        <v>#REF!</v>
      </c>
      <c r="S9" t="e">
        <f>AND(#REF!,"AAAAAH9i3hI=")</f>
        <v>#REF!</v>
      </c>
      <c r="T9" t="e">
        <f>AND(#REF!,"AAAAAH9i3hM=")</f>
        <v>#REF!</v>
      </c>
      <c r="U9" t="e">
        <f>AND(#REF!,"AAAAAH9i3hQ=")</f>
        <v>#REF!</v>
      </c>
      <c r="V9" t="e">
        <f>AND(#REF!,"AAAAAH9i3hU=")</f>
        <v>#REF!</v>
      </c>
      <c r="W9" t="e">
        <f>AND(#REF!,"AAAAAH9i3hY=")</f>
        <v>#REF!</v>
      </c>
      <c r="X9" t="e">
        <f>AND(#REF!,"AAAAAH9i3hc=")</f>
        <v>#REF!</v>
      </c>
      <c r="Y9" t="e">
        <f>AND(#REF!,"AAAAAH9i3hg=")</f>
        <v>#REF!</v>
      </c>
      <c r="Z9" t="e">
        <f>AND(#REF!,"AAAAAH9i3hk=")</f>
        <v>#REF!</v>
      </c>
      <c r="AA9" t="e">
        <f>AND(#REF!,"AAAAAH9i3ho=")</f>
        <v>#REF!</v>
      </c>
      <c r="AB9" t="e">
        <f>AND(#REF!,"AAAAAH9i3hs=")</f>
        <v>#REF!</v>
      </c>
      <c r="AC9" t="e">
        <f>AND(#REF!,"AAAAAH9i3hw=")</f>
        <v>#REF!</v>
      </c>
      <c r="AD9" t="e">
        <f>AND(#REF!,"AAAAAH9i3h0=")</f>
        <v>#REF!</v>
      </c>
      <c r="AE9" t="e">
        <f>AND(#REF!,"AAAAAH9i3h4=")</f>
        <v>#REF!</v>
      </c>
      <c r="AF9" t="e">
        <f>AND(#REF!,"AAAAAH9i3h8=")</f>
        <v>#REF!</v>
      </c>
      <c r="AG9" t="e">
        <f>IF(#REF!,"AAAAAH9i3iA=",0)</f>
        <v>#REF!</v>
      </c>
      <c r="AH9" t="e">
        <f>AND(#REF!,"AAAAAH9i3iE=")</f>
        <v>#REF!</v>
      </c>
      <c r="AI9" t="e">
        <f>AND(#REF!,"AAAAAH9i3iI=")</f>
        <v>#REF!</v>
      </c>
      <c r="AJ9" t="e">
        <f>AND(#REF!,"AAAAAH9i3iM=")</f>
        <v>#REF!</v>
      </c>
      <c r="AK9" t="e">
        <f>AND(#REF!,"AAAAAH9i3iQ=")</f>
        <v>#REF!</v>
      </c>
      <c r="AL9" t="e">
        <f>AND(#REF!,"AAAAAH9i3iU=")</f>
        <v>#REF!</v>
      </c>
      <c r="AM9" t="e">
        <f>AND(#REF!,"AAAAAH9i3iY=")</f>
        <v>#REF!</v>
      </c>
      <c r="AN9" t="e">
        <f>AND(#REF!,"AAAAAH9i3ic=")</f>
        <v>#REF!</v>
      </c>
      <c r="AO9" t="e">
        <f>AND(#REF!,"AAAAAH9i3ig=")</f>
        <v>#REF!</v>
      </c>
      <c r="AP9" t="e">
        <f>AND(#REF!,"AAAAAH9i3ik=")</f>
        <v>#REF!</v>
      </c>
      <c r="AQ9" t="e">
        <f>AND(#REF!,"AAAAAH9i3io=")</f>
        <v>#REF!</v>
      </c>
      <c r="AR9" t="e">
        <f>AND(#REF!,"AAAAAH9i3is=")</f>
        <v>#REF!</v>
      </c>
      <c r="AS9" t="e">
        <f>AND(#REF!,"AAAAAH9i3iw=")</f>
        <v>#REF!</v>
      </c>
      <c r="AT9" t="e">
        <f>AND(#REF!,"AAAAAH9i3i0=")</f>
        <v>#REF!</v>
      </c>
      <c r="AU9" t="e">
        <f>AND(#REF!,"AAAAAH9i3i4=")</f>
        <v>#REF!</v>
      </c>
      <c r="AV9" t="e">
        <f>AND(#REF!,"AAAAAH9i3i8=")</f>
        <v>#REF!</v>
      </c>
      <c r="AW9" t="e">
        <f>AND(#REF!,"AAAAAH9i3jA=")</f>
        <v>#REF!</v>
      </c>
      <c r="AX9" t="e">
        <f>AND(#REF!,"AAAAAH9i3jE=")</f>
        <v>#REF!</v>
      </c>
      <c r="AY9" t="e">
        <f>AND(#REF!,"AAAAAH9i3jI=")</f>
        <v>#REF!</v>
      </c>
      <c r="AZ9" t="e">
        <f>AND(#REF!,"AAAAAH9i3jM=")</f>
        <v>#REF!</v>
      </c>
      <c r="BA9" t="e">
        <f>IF(#REF!,"AAAAAH9i3jQ=",0)</f>
        <v>#REF!</v>
      </c>
      <c r="BB9" t="e">
        <f>AND(#REF!,"AAAAAH9i3jU=")</f>
        <v>#REF!</v>
      </c>
      <c r="BC9" t="e">
        <f>AND(#REF!,"AAAAAH9i3jY=")</f>
        <v>#REF!</v>
      </c>
      <c r="BD9" t="e">
        <f>AND(#REF!,"AAAAAH9i3jc=")</f>
        <v>#REF!</v>
      </c>
      <c r="BE9" t="e">
        <f>AND(#REF!,"AAAAAH9i3jg=")</f>
        <v>#REF!</v>
      </c>
      <c r="BF9" t="e">
        <f>AND(#REF!,"AAAAAH9i3jk=")</f>
        <v>#REF!</v>
      </c>
      <c r="BG9" t="e">
        <f>AND(#REF!,"AAAAAH9i3jo=")</f>
        <v>#REF!</v>
      </c>
      <c r="BH9" t="e">
        <f>AND(#REF!,"AAAAAH9i3js=")</f>
        <v>#REF!</v>
      </c>
      <c r="BI9" t="e">
        <f>AND(#REF!,"AAAAAH9i3jw=")</f>
        <v>#REF!</v>
      </c>
      <c r="BJ9" t="e">
        <f>AND(#REF!,"AAAAAH9i3j0=")</f>
        <v>#REF!</v>
      </c>
      <c r="BK9" t="e">
        <f>AND(#REF!,"AAAAAH9i3j4=")</f>
        <v>#REF!</v>
      </c>
      <c r="BL9" t="e">
        <f>AND(#REF!,"AAAAAH9i3j8=")</f>
        <v>#REF!</v>
      </c>
      <c r="BM9" t="e">
        <f>AND(#REF!,"AAAAAH9i3kA=")</f>
        <v>#REF!</v>
      </c>
      <c r="BN9" t="e">
        <f>AND(#REF!,"AAAAAH9i3kE=")</f>
        <v>#REF!</v>
      </c>
      <c r="BO9" t="e">
        <f>AND(#REF!,"AAAAAH9i3kI=")</f>
        <v>#REF!</v>
      </c>
      <c r="BP9" t="e">
        <f>AND(#REF!,"AAAAAH9i3kM=")</f>
        <v>#REF!</v>
      </c>
      <c r="BQ9" t="e">
        <f>AND(#REF!,"AAAAAH9i3kQ=")</f>
        <v>#REF!</v>
      </c>
      <c r="BR9" t="e">
        <f>AND(#REF!,"AAAAAH9i3kU=")</f>
        <v>#REF!</v>
      </c>
      <c r="BS9" t="e">
        <f>AND(#REF!,"AAAAAH9i3kY=")</f>
        <v>#REF!</v>
      </c>
      <c r="BT9" t="e">
        <f>AND(#REF!,"AAAAAH9i3kc=")</f>
        <v>#REF!</v>
      </c>
      <c r="BU9" t="e">
        <f>IF(#REF!,"AAAAAH9i3kg=",0)</f>
        <v>#REF!</v>
      </c>
      <c r="BV9" t="e">
        <f>AND(#REF!,"AAAAAH9i3kk=")</f>
        <v>#REF!</v>
      </c>
      <c r="BW9" t="e">
        <f>AND(#REF!,"AAAAAH9i3ko=")</f>
        <v>#REF!</v>
      </c>
      <c r="BX9" t="e">
        <f>AND(#REF!,"AAAAAH9i3ks=")</f>
        <v>#REF!</v>
      </c>
      <c r="BY9" t="e">
        <f>AND(#REF!,"AAAAAH9i3kw=")</f>
        <v>#REF!</v>
      </c>
      <c r="BZ9" t="e">
        <f>AND(#REF!,"AAAAAH9i3k0=")</f>
        <v>#REF!</v>
      </c>
      <c r="CA9" t="e">
        <f>AND(#REF!,"AAAAAH9i3k4=")</f>
        <v>#REF!</v>
      </c>
      <c r="CB9" t="e">
        <f>AND(#REF!,"AAAAAH9i3k8=")</f>
        <v>#REF!</v>
      </c>
      <c r="CC9" t="e">
        <f>AND(#REF!,"AAAAAH9i3lA=")</f>
        <v>#REF!</v>
      </c>
      <c r="CD9" t="e">
        <f>AND(#REF!,"AAAAAH9i3lE=")</f>
        <v>#REF!</v>
      </c>
      <c r="CE9" t="e">
        <f>AND(#REF!,"AAAAAH9i3lI=")</f>
        <v>#REF!</v>
      </c>
      <c r="CF9" t="e">
        <f>AND(#REF!,"AAAAAH9i3lM=")</f>
        <v>#REF!</v>
      </c>
      <c r="CG9" t="e">
        <f>AND(#REF!,"AAAAAH9i3lQ=")</f>
        <v>#REF!</v>
      </c>
      <c r="CH9" t="e">
        <f>AND(#REF!,"AAAAAH9i3lU=")</f>
        <v>#REF!</v>
      </c>
      <c r="CI9" t="e">
        <f>AND(#REF!,"AAAAAH9i3lY=")</f>
        <v>#REF!</v>
      </c>
      <c r="CJ9" t="e">
        <f>AND(#REF!,"AAAAAH9i3lc=")</f>
        <v>#REF!</v>
      </c>
      <c r="CK9" t="e">
        <f>AND(#REF!,"AAAAAH9i3lg=")</f>
        <v>#REF!</v>
      </c>
      <c r="CL9" t="e">
        <f>AND(#REF!,"AAAAAH9i3lk=")</f>
        <v>#REF!</v>
      </c>
      <c r="CM9" t="e">
        <f>AND(#REF!,"AAAAAH9i3lo=")</f>
        <v>#REF!</v>
      </c>
      <c r="CN9" t="e">
        <f>AND(#REF!,"AAAAAH9i3ls=")</f>
        <v>#REF!</v>
      </c>
      <c r="CO9" t="e">
        <f>IF(#REF!,"AAAAAH9i3lw=",0)</f>
        <v>#REF!</v>
      </c>
      <c r="CP9" t="e">
        <f>AND(#REF!,"AAAAAH9i3l0=")</f>
        <v>#REF!</v>
      </c>
      <c r="CQ9" t="e">
        <f>AND(#REF!,"AAAAAH9i3l4=")</f>
        <v>#REF!</v>
      </c>
      <c r="CR9" t="e">
        <f>AND(#REF!,"AAAAAH9i3l8=")</f>
        <v>#REF!</v>
      </c>
      <c r="CS9" t="e">
        <f>AND(#REF!,"AAAAAH9i3mA=")</f>
        <v>#REF!</v>
      </c>
      <c r="CT9" t="e">
        <f>AND(#REF!,"AAAAAH9i3mE=")</f>
        <v>#REF!</v>
      </c>
      <c r="CU9" t="e">
        <f>AND(#REF!,"AAAAAH9i3mI=")</f>
        <v>#REF!</v>
      </c>
      <c r="CV9" t="e">
        <f>AND(#REF!,"AAAAAH9i3mM=")</f>
        <v>#REF!</v>
      </c>
      <c r="CW9" t="e">
        <f>AND(#REF!,"AAAAAH9i3mQ=")</f>
        <v>#REF!</v>
      </c>
      <c r="CX9" t="e">
        <f>AND(#REF!,"AAAAAH9i3mU=")</f>
        <v>#REF!</v>
      </c>
      <c r="CY9" t="e">
        <f>AND(#REF!,"AAAAAH9i3mY=")</f>
        <v>#REF!</v>
      </c>
      <c r="CZ9" t="e">
        <f>AND(#REF!,"AAAAAH9i3mc=")</f>
        <v>#REF!</v>
      </c>
      <c r="DA9" t="e">
        <f>AND(#REF!,"AAAAAH9i3mg=")</f>
        <v>#REF!</v>
      </c>
      <c r="DB9" t="e">
        <f>AND(#REF!,"AAAAAH9i3mk=")</f>
        <v>#REF!</v>
      </c>
      <c r="DC9" t="e">
        <f>AND(#REF!,"AAAAAH9i3mo=")</f>
        <v>#REF!</v>
      </c>
      <c r="DD9" t="e">
        <f>AND(#REF!,"AAAAAH9i3ms=")</f>
        <v>#REF!</v>
      </c>
      <c r="DE9" t="e">
        <f>AND(#REF!,"AAAAAH9i3mw=")</f>
        <v>#REF!</v>
      </c>
      <c r="DF9" t="e">
        <f>AND(#REF!,"AAAAAH9i3m0=")</f>
        <v>#REF!</v>
      </c>
      <c r="DG9" t="e">
        <f>AND(#REF!,"AAAAAH9i3m4=")</f>
        <v>#REF!</v>
      </c>
      <c r="DH9" t="e">
        <f>AND(#REF!,"AAAAAH9i3m8=")</f>
        <v>#REF!</v>
      </c>
      <c r="DI9" t="e">
        <f>IF(#REF!,"AAAAAH9i3nA=",0)</f>
        <v>#REF!</v>
      </c>
      <c r="DJ9" t="e">
        <f>AND(#REF!,"AAAAAH9i3nE=")</f>
        <v>#REF!</v>
      </c>
      <c r="DK9" t="e">
        <f>AND(#REF!,"AAAAAH9i3nI=")</f>
        <v>#REF!</v>
      </c>
      <c r="DL9" t="e">
        <f>AND(#REF!,"AAAAAH9i3nM=")</f>
        <v>#REF!</v>
      </c>
      <c r="DM9" t="e">
        <f>AND(#REF!,"AAAAAH9i3nQ=")</f>
        <v>#REF!</v>
      </c>
      <c r="DN9" t="e">
        <f>AND(#REF!,"AAAAAH9i3nU=")</f>
        <v>#REF!</v>
      </c>
      <c r="DO9" t="e">
        <f>AND(#REF!,"AAAAAH9i3nY=")</f>
        <v>#REF!</v>
      </c>
      <c r="DP9" t="e">
        <f>AND(#REF!,"AAAAAH9i3nc=")</f>
        <v>#REF!</v>
      </c>
      <c r="DQ9" t="e">
        <f>AND(#REF!,"AAAAAH9i3ng=")</f>
        <v>#REF!</v>
      </c>
      <c r="DR9" t="e">
        <f>AND(#REF!,"AAAAAH9i3nk=")</f>
        <v>#REF!</v>
      </c>
      <c r="DS9" t="e">
        <f>AND(#REF!,"AAAAAH9i3no=")</f>
        <v>#REF!</v>
      </c>
      <c r="DT9" t="e">
        <f>AND(#REF!,"AAAAAH9i3ns=")</f>
        <v>#REF!</v>
      </c>
      <c r="DU9" t="e">
        <f>AND(#REF!,"AAAAAH9i3nw=")</f>
        <v>#REF!</v>
      </c>
      <c r="DV9" t="e">
        <f>AND(#REF!,"AAAAAH9i3n0=")</f>
        <v>#REF!</v>
      </c>
      <c r="DW9" t="e">
        <f>AND(#REF!,"AAAAAH9i3n4=")</f>
        <v>#REF!</v>
      </c>
      <c r="DX9" t="e">
        <f>AND(#REF!,"AAAAAH9i3n8=")</f>
        <v>#REF!</v>
      </c>
      <c r="DY9" t="e">
        <f>AND(#REF!,"AAAAAH9i3oA=")</f>
        <v>#REF!</v>
      </c>
      <c r="DZ9" t="e">
        <f>AND(#REF!,"AAAAAH9i3oE=")</f>
        <v>#REF!</v>
      </c>
      <c r="EA9" t="e">
        <f>AND(#REF!,"AAAAAH9i3oI=")</f>
        <v>#REF!</v>
      </c>
      <c r="EB9" t="e">
        <f>AND(#REF!,"AAAAAH9i3oM=")</f>
        <v>#REF!</v>
      </c>
      <c r="EC9" t="e">
        <f>IF(#REF!,"AAAAAH9i3oQ=",0)</f>
        <v>#REF!</v>
      </c>
      <c r="ED9" t="e">
        <f>AND(#REF!,"AAAAAH9i3oU=")</f>
        <v>#REF!</v>
      </c>
      <c r="EE9" t="e">
        <f>AND(#REF!,"AAAAAH9i3oY=")</f>
        <v>#REF!</v>
      </c>
      <c r="EF9" t="e">
        <f>AND(#REF!,"AAAAAH9i3oc=")</f>
        <v>#REF!</v>
      </c>
      <c r="EG9" t="e">
        <f>AND(#REF!,"AAAAAH9i3og=")</f>
        <v>#REF!</v>
      </c>
      <c r="EH9" t="e">
        <f>AND(#REF!,"AAAAAH9i3ok=")</f>
        <v>#REF!</v>
      </c>
      <c r="EI9" t="e">
        <f>AND(#REF!,"AAAAAH9i3oo=")</f>
        <v>#REF!</v>
      </c>
      <c r="EJ9" t="e">
        <f>AND(#REF!,"AAAAAH9i3os=")</f>
        <v>#REF!</v>
      </c>
      <c r="EK9" t="e">
        <f>AND(#REF!,"AAAAAH9i3ow=")</f>
        <v>#REF!</v>
      </c>
      <c r="EL9" t="e">
        <f>AND(#REF!,"AAAAAH9i3o0=")</f>
        <v>#REF!</v>
      </c>
      <c r="EM9" t="e">
        <f>AND(#REF!,"AAAAAH9i3o4=")</f>
        <v>#REF!</v>
      </c>
      <c r="EN9" t="e">
        <f>AND(#REF!,"AAAAAH9i3o8=")</f>
        <v>#REF!</v>
      </c>
      <c r="EO9" t="e">
        <f>AND(#REF!,"AAAAAH9i3pA=")</f>
        <v>#REF!</v>
      </c>
      <c r="EP9" t="e">
        <f>AND(#REF!,"AAAAAH9i3pE=")</f>
        <v>#REF!</v>
      </c>
      <c r="EQ9" t="e">
        <f>AND(#REF!,"AAAAAH9i3pI=")</f>
        <v>#REF!</v>
      </c>
      <c r="ER9" t="e">
        <f>AND(#REF!,"AAAAAH9i3pM=")</f>
        <v>#REF!</v>
      </c>
      <c r="ES9" t="e">
        <f>AND(#REF!,"AAAAAH9i3pQ=")</f>
        <v>#REF!</v>
      </c>
      <c r="ET9" t="e">
        <f>AND(#REF!,"AAAAAH9i3pU=")</f>
        <v>#REF!</v>
      </c>
      <c r="EU9" t="e">
        <f>AND(#REF!,"AAAAAH9i3pY=")</f>
        <v>#REF!</v>
      </c>
      <c r="EV9" t="e">
        <f>AND(#REF!,"AAAAAH9i3pc=")</f>
        <v>#REF!</v>
      </c>
      <c r="EW9" t="e">
        <f>IF(#REF!,"AAAAAH9i3pg=",0)</f>
        <v>#REF!</v>
      </c>
      <c r="EX9" t="e">
        <f>AND(#REF!,"AAAAAH9i3pk=")</f>
        <v>#REF!</v>
      </c>
      <c r="EY9" t="e">
        <f>AND(#REF!,"AAAAAH9i3po=")</f>
        <v>#REF!</v>
      </c>
      <c r="EZ9" t="e">
        <f>AND(#REF!,"AAAAAH9i3ps=")</f>
        <v>#REF!</v>
      </c>
      <c r="FA9" t="e">
        <f>AND(#REF!,"AAAAAH9i3pw=")</f>
        <v>#REF!</v>
      </c>
      <c r="FB9" t="e">
        <f>AND(#REF!,"AAAAAH9i3p0=")</f>
        <v>#REF!</v>
      </c>
      <c r="FC9" t="e">
        <f>AND(#REF!,"AAAAAH9i3p4=")</f>
        <v>#REF!</v>
      </c>
      <c r="FD9" t="e">
        <f>AND(#REF!,"AAAAAH9i3p8=")</f>
        <v>#REF!</v>
      </c>
      <c r="FE9" t="e">
        <f>AND(#REF!,"AAAAAH9i3qA=")</f>
        <v>#REF!</v>
      </c>
      <c r="FF9" t="e">
        <f>AND(#REF!,"AAAAAH9i3qE=")</f>
        <v>#REF!</v>
      </c>
      <c r="FG9" t="e">
        <f>AND(#REF!,"AAAAAH9i3qI=")</f>
        <v>#REF!</v>
      </c>
      <c r="FH9" t="e">
        <f>AND(#REF!,"AAAAAH9i3qM=")</f>
        <v>#REF!</v>
      </c>
      <c r="FI9" t="e">
        <f>AND(#REF!,"AAAAAH9i3qQ=")</f>
        <v>#REF!</v>
      </c>
      <c r="FJ9" t="e">
        <f>AND(#REF!,"AAAAAH9i3qU=")</f>
        <v>#REF!</v>
      </c>
      <c r="FK9" t="e">
        <f>AND(#REF!,"AAAAAH9i3qY=")</f>
        <v>#REF!</v>
      </c>
      <c r="FL9" t="e">
        <f>AND(#REF!,"AAAAAH9i3qc=")</f>
        <v>#REF!</v>
      </c>
      <c r="FM9" t="e">
        <f>AND(#REF!,"AAAAAH9i3qg=")</f>
        <v>#REF!</v>
      </c>
      <c r="FN9" t="e">
        <f>AND(#REF!,"AAAAAH9i3qk=")</f>
        <v>#REF!</v>
      </c>
      <c r="FO9" t="e">
        <f>AND(#REF!,"AAAAAH9i3qo=")</f>
        <v>#REF!</v>
      </c>
      <c r="FP9" t="e">
        <f>AND(#REF!,"AAAAAH9i3qs=")</f>
        <v>#REF!</v>
      </c>
      <c r="FQ9" t="e">
        <f>IF(#REF!,"AAAAAH9i3qw=",0)</f>
        <v>#REF!</v>
      </c>
      <c r="FR9" t="e">
        <f>AND(#REF!,"AAAAAH9i3q0=")</f>
        <v>#REF!</v>
      </c>
      <c r="FS9" t="e">
        <f>AND(#REF!,"AAAAAH9i3q4=")</f>
        <v>#REF!</v>
      </c>
      <c r="FT9" t="e">
        <f>AND(#REF!,"AAAAAH9i3q8=")</f>
        <v>#REF!</v>
      </c>
      <c r="FU9" t="e">
        <f>AND(#REF!,"AAAAAH9i3rA=")</f>
        <v>#REF!</v>
      </c>
      <c r="FV9" t="e">
        <f>AND(#REF!,"AAAAAH9i3rE=")</f>
        <v>#REF!</v>
      </c>
      <c r="FW9" t="e">
        <f>AND(#REF!,"AAAAAH9i3rI=")</f>
        <v>#REF!</v>
      </c>
      <c r="FX9" t="e">
        <f>AND(#REF!,"AAAAAH9i3rM=")</f>
        <v>#REF!</v>
      </c>
      <c r="FY9" t="e">
        <f>AND(#REF!,"AAAAAH9i3rQ=")</f>
        <v>#REF!</v>
      </c>
      <c r="FZ9" t="e">
        <f>AND(#REF!,"AAAAAH9i3rU=")</f>
        <v>#REF!</v>
      </c>
      <c r="GA9" t="e">
        <f>AND(#REF!,"AAAAAH9i3rY=")</f>
        <v>#REF!</v>
      </c>
      <c r="GB9" t="e">
        <f>AND(#REF!,"AAAAAH9i3rc=")</f>
        <v>#REF!</v>
      </c>
      <c r="GC9" t="e">
        <f>AND(#REF!,"AAAAAH9i3rg=")</f>
        <v>#REF!</v>
      </c>
      <c r="GD9" t="e">
        <f>AND(#REF!,"AAAAAH9i3rk=")</f>
        <v>#REF!</v>
      </c>
      <c r="GE9" t="e">
        <f>AND(#REF!,"AAAAAH9i3ro=")</f>
        <v>#REF!</v>
      </c>
      <c r="GF9" t="e">
        <f>AND(#REF!,"AAAAAH9i3rs=")</f>
        <v>#REF!</v>
      </c>
      <c r="GG9" t="e">
        <f>AND(#REF!,"AAAAAH9i3rw=")</f>
        <v>#REF!</v>
      </c>
      <c r="GH9" t="e">
        <f>AND(#REF!,"AAAAAH9i3r0=")</f>
        <v>#REF!</v>
      </c>
      <c r="GI9" t="e">
        <f>AND(#REF!,"AAAAAH9i3r4=")</f>
        <v>#REF!</v>
      </c>
      <c r="GJ9" t="e">
        <f>AND(#REF!,"AAAAAH9i3r8=")</f>
        <v>#REF!</v>
      </c>
      <c r="GK9" t="e">
        <f>IF(#REF!,"AAAAAH9i3sA=",0)</f>
        <v>#REF!</v>
      </c>
      <c r="GL9" t="e">
        <f>AND(#REF!,"AAAAAH9i3sE=")</f>
        <v>#REF!</v>
      </c>
      <c r="GM9" t="e">
        <f>AND(#REF!,"AAAAAH9i3sI=")</f>
        <v>#REF!</v>
      </c>
      <c r="GN9" t="e">
        <f>AND(#REF!,"AAAAAH9i3sM=")</f>
        <v>#REF!</v>
      </c>
      <c r="GO9" t="e">
        <f>AND(#REF!,"AAAAAH9i3sQ=")</f>
        <v>#REF!</v>
      </c>
      <c r="GP9" t="e">
        <f>AND(#REF!,"AAAAAH9i3sU=")</f>
        <v>#REF!</v>
      </c>
      <c r="GQ9" t="e">
        <f>AND(#REF!,"AAAAAH9i3sY=")</f>
        <v>#REF!</v>
      </c>
      <c r="GR9" t="e">
        <f>AND(#REF!,"AAAAAH9i3sc=")</f>
        <v>#REF!</v>
      </c>
      <c r="GS9" t="e">
        <f>AND(#REF!,"AAAAAH9i3sg=")</f>
        <v>#REF!</v>
      </c>
      <c r="GT9" t="e">
        <f>AND(#REF!,"AAAAAH9i3sk=")</f>
        <v>#REF!</v>
      </c>
      <c r="GU9" t="e">
        <f>AND(#REF!,"AAAAAH9i3so=")</f>
        <v>#REF!</v>
      </c>
      <c r="GV9" t="e">
        <f>AND(#REF!,"AAAAAH9i3ss=")</f>
        <v>#REF!</v>
      </c>
      <c r="GW9" t="e">
        <f>AND(#REF!,"AAAAAH9i3sw=")</f>
        <v>#REF!</v>
      </c>
      <c r="GX9" t="e">
        <f>AND(#REF!,"AAAAAH9i3s0=")</f>
        <v>#REF!</v>
      </c>
      <c r="GY9" t="e">
        <f>AND(#REF!,"AAAAAH9i3s4=")</f>
        <v>#REF!</v>
      </c>
      <c r="GZ9" t="e">
        <f>AND(#REF!,"AAAAAH9i3s8=")</f>
        <v>#REF!</v>
      </c>
      <c r="HA9" t="e">
        <f>AND(#REF!,"AAAAAH9i3tA=")</f>
        <v>#REF!</v>
      </c>
      <c r="HB9" t="e">
        <f>AND(#REF!,"AAAAAH9i3tE=")</f>
        <v>#REF!</v>
      </c>
      <c r="HC9" t="e">
        <f>AND(#REF!,"AAAAAH9i3tI=")</f>
        <v>#REF!</v>
      </c>
      <c r="HD9" t="e">
        <f>AND(#REF!,"AAAAAH9i3tM=")</f>
        <v>#REF!</v>
      </c>
      <c r="HE9" t="e">
        <f>IF(#REF!,"AAAAAH9i3tQ=",0)</f>
        <v>#REF!</v>
      </c>
      <c r="HF9" t="e">
        <f>AND(#REF!,"AAAAAH9i3tU=")</f>
        <v>#REF!</v>
      </c>
      <c r="HG9" t="e">
        <f>AND(#REF!,"AAAAAH9i3tY=")</f>
        <v>#REF!</v>
      </c>
      <c r="HH9" t="e">
        <f>AND(#REF!,"AAAAAH9i3tc=")</f>
        <v>#REF!</v>
      </c>
      <c r="HI9" t="e">
        <f>AND(#REF!,"AAAAAH9i3tg=")</f>
        <v>#REF!</v>
      </c>
      <c r="HJ9" t="e">
        <f>AND(#REF!,"AAAAAH9i3tk=")</f>
        <v>#REF!</v>
      </c>
      <c r="HK9" t="e">
        <f>AND(#REF!,"AAAAAH9i3to=")</f>
        <v>#REF!</v>
      </c>
      <c r="HL9" t="e">
        <f>AND(#REF!,"AAAAAH9i3ts=")</f>
        <v>#REF!</v>
      </c>
      <c r="HM9" t="e">
        <f>AND(#REF!,"AAAAAH9i3tw=")</f>
        <v>#REF!</v>
      </c>
      <c r="HN9" t="e">
        <f>AND(#REF!,"AAAAAH9i3t0=")</f>
        <v>#REF!</v>
      </c>
      <c r="HO9" t="e">
        <f>AND(#REF!,"AAAAAH9i3t4=")</f>
        <v>#REF!</v>
      </c>
      <c r="HP9" t="e">
        <f>AND(#REF!,"AAAAAH9i3t8=")</f>
        <v>#REF!</v>
      </c>
      <c r="HQ9" t="e">
        <f>AND(#REF!,"AAAAAH9i3uA=")</f>
        <v>#REF!</v>
      </c>
      <c r="HR9" t="e">
        <f>AND(#REF!,"AAAAAH9i3uE=")</f>
        <v>#REF!</v>
      </c>
      <c r="HS9" t="e">
        <f>AND(#REF!,"AAAAAH9i3uI=")</f>
        <v>#REF!</v>
      </c>
      <c r="HT9" t="e">
        <f>AND(#REF!,"AAAAAH9i3uM=")</f>
        <v>#REF!</v>
      </c>
      <c r="HU9" t="e">
        <f>AND(#REF!,"AAAAAH9i3uQ=")</f>
        <v>#REF!</v>
      </c>
      <c r="HV9" t="e">
        <f>AND(#REF!,"AAAAAH9i3uU=")</f>
        <v>#REF!</v>
      </c>
      <c r="HW9" t="e">
        <f>AND(#REF!,"AAAAAH9i3uY=")</f>
        <v>#REF!</v>
      </c>
      <c r="HX9" t="e">
        <f>AND(#REF!,"AAAAAH9i3uc=")</f>
        <v>#REF!</v>
      </c>
      <c r="HY9" t="e">
        <f>IF(#REF!,"AAAAAH9i3ug=",0)</f>
        <v>#REF!</v>
      </c>
      <c r="HZ9" t="e">
        <f>AND(#REF!,"AAAAAH9i3uk=")</f>
        <v>#REF!</v>
      </c>
      <c r="IA9" t="e">
        <f>AND(#REF!,"AAAAAH9i3uo=")</f>
        <v>#REF!</v>
      </c>
      <c r="IB9" t="e">
        <f>AND(#REF!,"AAAAAH9i3us=")</f>
        <v>#REF!</v>
      </c>
      <c r="IC9" t="e">
        <f>AND(#REF!,"AAAAAH9i3uw=")</f>
        <v>#REF!</v>
      </c>
      <c r="ID9" t="e">
        <f>AND(#REF!,"AAAAAH9i3u0=")</f>
        <v>#REF!</v>
      </c>
      <c r="IE9" t="e">
        <f>AND(#REF!,"AAAAAH9i3u4=")</f>
        <v>#REF!</v>
      </c>
      <c r="IF9" t="e">
        <f>AND(#REF!,"AAAAAH9i3u8=")</f>
        <v>#REF!</v>
      </c>
      <c r="IG9" t="e">
        <f>AND(#REF!,"AAAAAH9i3vA=")</f>
        <v>#REF!</v>
      </c>
      <c r="IH9" t="e">
        <f>AND(#REF!,"AAAAAH9i3vE=")</f>
        <v>#REF!</v>
      </c>
      <c r="II9" t="e">
        <f>AND(#REF!,"AAAAAH9i3vI=")</f>
        <v>#REF!</v>
      </c>
      <c r="IJ9" t="e">
        <f>AND(#REF!,"AAAAAH9i3vM=")</f>
        <v>#REF!</v>
      </c>
      <c r="IK9" t="e">
        <f>AND(#REF!,"AAAAAH9i3vQ=")</f>
        <v>#REF!</v>
      </c>
      <c r="IL9" t="e">
        <f>AND(#REF!,"AAAAAH9i3vU=")</f>
        <v>#REF!</v>
      </c>
      <c r="IM9" t="e">
        <f>AND(#REF!,"AAAAAH9i3vY=")</f>
        <v>#REF!</v>
      </c>
      <c r="IN9" t="e">
        <f>AND(#REF!,"AAAAAH9i3vc=")</f>
        <v>#REF!</v>
      </c>
      <c r="IO9" t="e">
        <f>AND(#REF!,"AAAAAH9i3vg=")</f>
        <v>#REF!</v>
      </c>
      <c r="IP9" t="e">
        <f>AND(#REF!,"AAAAAH9i3vk=")</f>
        <v>#REF!</v>
      </c>
      <c r="IQ9" t="e">
        <f>AND(#REF!,"AAAAAH9i3vo=")</f>
        <v>#REF!</v>
      </c>
      <c r="IR9" t="e">
        <f>AND(#REF!,"AAAAAH9i3vs=")</f>
        <v>#REF!</v>
      </c>
      <c r="IS9" t="e">
        <f>IF(#REF!,"AAAAAH9i3vw=",0)</f>
        <v>#REF!</v>
      </c>
      <c r="IT9" t="e">
        <f>AND(#REF!,"AAAAAH9i3v0=")</f>
        <v>#REF!</v>
      </c>
      <c r="IU9" t="e">
        <f>AND(#REF!,"AAAAAH9i3v4=")</f>
        <v>#REF!</v>
      </c>
      <c r="IV9" t="e">
        <f>AND(#REF!,"AAAAAH9i3v8=")</f>
        <v>#REF!</v>
      </c>
    </row>
    <row r="10" spans="1:256" x14ac:dyDescent="0.15">
      <c r="A10" t="e">
        <f>AND(#REF!,"AAAAADf5dwA=")</f>
        <v>#REF!</v>
      </c>
      <c r="B10" t="e">
        <f>AND(#REF!,"AAAAADf5dwE=")</f>
        <v>#REF!</v>
      </c>
      <c r="C10" t="e">
        <f>AND(#REF!,"AAAAADf5dwI=")</f>
        <v>#REF!</v>
      </c>
      <c r="D10" t="e">
        <f>AND(#REF!,"AAAAADf5dwM=")</f>
        <v>#REF!</v>
      </c>
      <c r="E10" t="e">
        <f>AND(#REF!,"AAAAADf5dwQ=")</f>
        <v>#REF!</v>
      </c>
      <c r="F10" t="e">
        <f>AND(#REF!,"AAAAADf5dwU=")</f>
        <v>#REF!</v>
      </c>
      <c r="G10" t="e">
        <f>AND(#REF!,"AAAAADf5dwY=")</f>
        <v>#REF!</v>
      </c>
      <c r="H10" t="e">
        <f>AND(#REF!,"AAAAADf5dwc=")</f>
        <v>#REF!</v>
      </c>
      <c r="I10" t="e">
        <f>AND(#REF!,"AAAAADf5dwg=")</f>
        <v>#REF!</v>
      </c>
      <c r="J10" t="e">
        <f>AND(#REF!,"AAAAADf5dwk=")</f>
        <v>#REF!</v>
      </c>
      <c r="K10" t="e">
        <f>AND(#REF!,"AAAAADf5dwo=")</f>
        <v>#REF!</v>
      </c>
      <c r="L10" t="e">
        <f>AND(#REF!,"AAAAADf5dws=")</f>
        <v>#REF!</v>
      </c>
      <c r="M10" t="e">
        <f>AND(#REF!,"AAAAADf5dww=")</f>
        <v>#REF!</v>
      </c>
      <c r="N10" t="e">
        <f>AND(#REF!,"AAAAADf5dw0=")</f>
        <v>#REF!</v>
      </c>
      <c r="O10" t="e">
        <f>AND(#REF!,"AAAAADf5dw4=")</f>
        <v>#REF!</v>
      </c>
      <c r="P10" t="e">
        <f>AND(#REF!,"AAAAADf5dw8=")</f>
        <v>#REF!</v>
      </c>
      <c r="Q10" t="e">
        <f>IF(#REF!,"AAAAADf5dxA=",0)</f>
        <v>#REF!</v>
      </c>
      <c r="R10" t="e">
        <f>AND(#REF!,"AAAAADf5dxE=")</f>
        <v>#REF!</v>
      </c>
      <c r="S10" t="e">
        <f>AND(#REF!,"AAAAADf5dxI=")</f>
        <v>#REF!</v>
      </c>
      <c r="T10" t="e">
        <f>AND(#REF!,"AAAAADf5dxM=")</f>
        <v>#REF!</v>
      </c>
      <c r="U10" t="e">
        <f>AND(#REF!,"AAAAADf5dxQ=")</f>
        <v>#REF!</v>
      </c>
      <c r="V10" t="e">
        <f>AND(#REF!,"AAAAADf5dxU=")</f>
        <v>#REF!</v>
      </c>
      <c r="W10" t="e">
        <f>AND(#REF!,"AAAAADf5dxY=")</f>
        <v>#REF!</v>
      </c>
      <c r="X10" t="e">
        <f>AND(#REF!,"AAAAADf5dxc=")</f>
        <v>#REF!</v>
      </c>
      <c r="Y10" t="e">
        <f>AND(#REF!,"AAAAADf5dxg=")</f>
        <v>#REF!</v>
      </c>
      <c r="Z10" t="e">
        <f>AND(#REF!,"AAAAADf5dxk=")</f>
        <v>#REF!</v>
      </c>
      <c r="AA10" t="e">
        <f>AND(#REF!,"AAAAADf5dxo=")</f>
        <v>#REF!</v>
      </c>
      <c r="AB10" t="e">
        <f>AND(#REF!,"AAAAADf5dxs=")</f>
        <v>#REF!</v>
      </c>
      <c r="AC10" t="e">
        <f>AND(#REF!,"AAAAADf5dxw=")</f>
        <v>#REF!</v>
      </c>
      <c r="AD10" t="e">
        <f>AND(#REF!,"AAAAADf5dx0=")</f>
        <v>#REF!</v>
      </c>
      <c r="AE10" t="e">
        <f>AND(#REF!,"AAAAADf5dx4=")</f>
        <v>#REF!</v>
      </c>
      <c r="AF10" t="e">
        <f>AND(#REF!,"AAAAADf5dx8=")</f>
        <v>#REF!</v>
      </c>
      <c r="AG10" t="e">
        <f>AND(#REF!,"AAAAADf5dyA=")</f>
        <v>#REF!</v>
      </c>
      <c r="AH10" t="e">
        <f>AND(#REF!,"AAAAADf5dyE=")</f>
        <v>#REF!</v>
      </c>
      <c r="AI10" t="e">
        <f>AND(#REF!,"AAAAADf5dyI=")</f>
        <v>#REF!</v>
      </c>
      <c r="AJ10" t="e">
        <f>AND(#REF!,"AAAAADf5dyM=")</f>
        <v>#REF!</v>
      </c>
      <c r="AK10" t="e">
        <f>IF(#REF!,"AAAAADf5dyQ=",0)</f>
        <v>#REF!</v>
      </c>
      <c r="AL10" t="e">
        <f>AND(#REF!,"AAAAADf5dyU=")</f>
        <v>#REF!</v>
      </c>
      <c r="AM10" t="e">
        <f>AND(#REF!,"AAAAADf5dyY=")</f>
        <v>#REF!</v>
      </c>
      <c r="AN10" t="e">
        <f>AND(#REF!,"AAAAADf5dyc=")</f>
        <v>#REF!</v>
      </c>
      <c r="AO10" t="e">
        <f>AND(#REF!,"AAAAADf5dyg=")</f>
        <v>#REF!</v>
      </c>
      <c r="AP10" t="e">
        <f>AND(#REF!,"AAAAADf5dyk=")</f>
        <v>#REF!</v>
      </c>
      <c r="AQ10" t="e">
        <f>AND(#REF!,"AAAAADf5dyo=")</f>
        <v>#REF!</v>
      </c>
      <c r="AR10" t="e">
        <f>AND(#REF!,"AAAAADf5dys=")</f>
        <v>#REF!</v>
      </c>
      <c r="AS10" t="e">
        <f>AND(#REF!,"AAAAADf5dyw=")</f>
        <v>#REF!</v>
      </c>
      <c r="AT10" t="e">
        <f>AND(#REF!,"AAAAADf5dy0=")</f>
        <v>#REF!</v>
      </c>
      <c r="AU10" t="e">
        <f>AND(#REF!,"AAAAADf5dy4=")</f>
        <v>#REF!</v>
      </c>
      <c r="AV10" t="e">
        <f>AND(#REF!,"AAAAADf5dy8=")</f>
        <v>#REF!</v>
      </c>
      <c r="AW10" t="e">
        <f>AND(#REF!,"AAAAADf5dzA=")</f>
        <v>#REF!</v>
      </c>
      <c r="AX10" t="e">
        <f>AND(#REF!,"AAAAADf5dzE=")</f>
        <v>#REF!</v>
      </c>
      <c r="AY10" t="e">
        <f>AND(#REF!,"AAAAADf5dzI=")</f>
        <v>#REF!</v>
      </c>
      <c r="AZ10" t="e">
        <f>AND(#REF!,"AAAAADf5dzM=")</f>
        <v>#REF!</v>
      </c>
      <c r="BA10" t="e">
        <f>AND(#REF!,"AAAAADf5dzQ=")</f>
        <v>#REF!</v>
      </c>
      <c r="BB10" t="e">
        <f>AND(#REF!,"AAAAADf5dzU=")</f>
        <v>#REF!</v>
      </c>
      <c r="BC10" t="e">
        <f>AND(#REF!,"AAAAADf5dzY=")</f>
        <v>#REF!</v>
      </c>
      <c r="BD10" t="e">
        <f>AND(#REF!,"AAAAADf5dzc=")</f>
        <v>#REF!</v>
      </c>
      <c r="BE10" t="e">
        <f>IF(#REF!,"AAAAADf5dzg=",0)</f>
        <v>#REF!</v>
      </c>
      <c r="BF10" t="e">
        <f>AND(#REF!,"AAAAADf5dzk=")</f>
        <v>#REF!</v>
      </c>
      <c r="BG10" t="e">
        <f>AND(#REF!,"AAAAADf5dzo=")</f>
        <v>#REF!</v>
      </c>
      <c r="BH10" t="e">
        <f>AND(#REF!,"AAAAADf5dzs=")</f>
        <v>#REF!</v>
      </c>
      <c r="BI10" t="e">
        <f>AND(#REF!,"AAAAADf5dzw=")</f>
        <v>#REF!</v>
      </c>
      <c r="BJ10" t="e">
        <f>AND(#REF!,"AAAAADf5dz0=")</f>
        <v>#REF!</v>
      </c>
      <c r="BK10" t="e">
        <f>AND(#REF!,"AAAAADf5dz4=")</f>
        <v>#REF!</v>
      </c>
      <c r="BL10" t="e">
        <f>AND(#REF!,"AAAAADf5dz8=")</f>
        <v>#REF!</v>
      </c>
      <c r="BM10" t="e">
        <f>AND(#REF!,"AAAAADf5d0A=")</f>
        <v>#REF!</v>
      </c>
      <c r="BN10" t="e">
        <f>AND(#REF!,"AAAAADf5d0E=")</f>
        <v>#REF!</v>
      </c>
      <c r="BO10" t="e">
        <f>AND(#REF!,"AAAAADf5d0I=")</f>
        <v>#REF!</v>
      </c>
      <c r="BP10" t="e">
        <f>AND(#REF!,"AAAAADf5d0M=")</f>
        <v>#REF!</v>
      </c>
      <c r="BQ10" t="e">
        <f>AND(#REF!,"AAAAADf5d0Q=")</f>
        <v>#REF!</v>
      </c>
      <c r="BR10" t="e">
        <f>AND(#REF!,"AAAAADf5d0U=")</f>
        <v>#REF!</v>
      </c>
      <c r="BS10" t="e">
        <f>AND(#REF!,"AAAAADf5d0Y=")</f>
        <v>#REF!</v>
      </c>
      <c r="BT10" t="e">
        <f>AND(#REF!,"AAAAADf5d0c=")</f>
        <v>#REF!</v>
      </c>
      <c r="BU10" t="e">
        <f>AND(#REF!,"AAAAADf5d0g=")</f>
        <v>#REF!</v>
      </c>
      <c r="BV10" t="e">
        <f>AND(#REF!,"AAAAADf5d0k=")</f>
        <v>#REF!</v>
      </c>
      <c r="BW10" t="e">
        <f>AND(#REF!,"AAAAADf5d0o=")</f>
        <v>#REF!</v>
      </c>
      <c r="BX10" t="e">
        <f>AND(#REF!,"AAAAADf5d0s=")</f>
        <v>#REF!</v>
      </c>
      <c r="BY10" t="e">
        <f>IF(#REF!,"AAAAADf5d0w=",0)</f>
        <v>#REF!</v>
      </c>
      <c r="BZ10" t="e">
        <f>AND(#REF!,"AAAAADf5d00=")</f>
        <v>#REF!</v>
      </c>
      <c r="CA10" t="e">
        <f>AND(#REF!,"AAAAADf5d04=")</f>
        <v>#REF!</v>
      </c>
      <c r="CB10" t="e">
        <f>AND(#REF!,"AAAAADf5d08=")</f>
        <v>#REF!</v>
      </c>
      <c r="CC10" t="e">
        <f>AND(#REF!,"AAAAADf5d1A=")</f>
        <v>#REF!</v>
      </c>
      <c r="CD10" t="e">
        <f>AND(#REF!,"AAAAADf5d1E=")</f>
        <v>#REF!</v>
      </c>
      <c r="CE10" t="e">
        <f>AND(#REF!,"AAAAADf5d1I=")</f>
        <v>#REF!</v>
      </c>
      <c r="CF10" t="e">
        <f>AND(#REF!,"AAAAADf5d1M=")</f>
        <v>#REF!</v>
      </c>
      <c r="CG10" t="e">
        <f>AND(#REF!,"AAAAADf5d1Q=")</f>
        <v>#REF!</v>
      </c>
      <c r="CH10" t="e">
        <f>AND(#REF!,"AAAAADf5d1U=")</f>
        <v>#REF!</v>
      </c>
      <c r="CI10" t="e">
        <f>AND(#REF!,"AAAAADf5d1Y=")</f>
        <v>#REF!</v>
      </c>
      <c r="CJ10" t="e">
        <f>AND(#REF!,"AAAAADf5d1c=")</f>
        <v>#REF!</v>
      </c>
      <c r="CK10" t="e">
        <f>AND(#REF!,"AAAAADf5d1g=")</f>
        <v>#REF!</v>
      </c>
      <c r="CL10" t="e">
        <f>AND(#REF!,"AAAAADf5d1k=")</f>
        <v>#REF!</v>
      </c>
      <c r="CM10" t="e">
        <f>AND(#REF!,"AAAAADf5d1o=")</f>
        <v>#REF!</v>
      </c>
      <c r="CN10" t="e">
        <f>AND(#REF!,"AAAAADf5d1s=")</f>
        <v>#REF!</v>
      </c>
      <c r="CO10" t="e">
        <f>AND(#REF!,"AAAAADf5d1w=")</f>
        <v>#REF!</v>
      </c>
      <c r="CP10" t="e">
        <f>AND(#REF!,"AAAAADf5d10=")</f>
        <v>#REF!</v>
      </c>
      <c r="CQ10" t="e">
        <f>AND(#REF!,"AAAAADf5d14=")</f>
        <v>#REF!</v>
      </c>
      <c r="CR10" t="e">
        <f>AND(#REF!,"AAAAADf5d18=")</f>
        <v>#REF!</v>
      </c>
      <c r="CS10" t="e">
        <f>IF(#REF!,"AAAAADf5d2A=",0)</f>
        <v>#REF!</v>
      </c>
      <c r="CT10" t="e">
        <f>AND(#REF!,"AAAAADf5d2E=")</f>
        <v>#REF!</v>
      </c>
      <c r="CU10" t="e">
        <f>AND(#REF!,"AAAAADf5d2I=")</f>
        <v>#REF!</v>
      </c>
      <c r="CV10" t="e">
        <f>AND(#REF!,"AAAAADf5d2M=")</f>
        <v>#REF!</v>
      </c>
      <c r="CW10" t="e">
        <f>AND(#REF!,"AAAAADf5d2Q=")</f>
        <v>#REF!</v>
      </c>
      <c r="CX10" t="e">
        <f>AND(#REF!,"AAAAADf5d2U=")</f>
        <v>#REF!</v>
      </c>
      <c r="CY10" t="e">
        <f>AND(#REF!,"AAAAADf5d2Y=")</f>
        <v>#REF!</v>
      </c>
      <c r="CZ10" t="e">
        <f>AND(#REF!,"AAAAADf5d2c=")</f>
        <v>#REF!</v>
      </c>
      <c r="DA10" t="e">
        <f>AND(#REF!,"AAAAADf5d2g=")</f>
        <v>#REF!</v>
      </c>
      <c r="DB10" t="e">
        <f>AND(#REF!,"AAAAADf5d2k=")</f>
        <v>#REF!</v>
      </c>
      <c r="DC10" t="e">
        <f>AND(#REF!,"AAAAADf5d2o=")</f>
        <v>#REF!</v>
      </c>
      <c r="DD10" t="e">
        <f>AND(#REF!,"AAAAADf5d2s=")</f>
        <v>#REF!</v>
      </c>
      <c r="DE10" t="e">
        <f>AND(#REF!,"AAAAADf5d2w=")</f>
        <v>#REF!</v>
      </c>
      <c r="DF10" t="e">
        <f>AND(#REF!,"AAAAADf5d20=")</f>
        <v>#REF!</v>
      </c>
      <c r="DG10" t="e">
        <f>AND(#REF!,"AAAAADf5d24=")</f>
        <v>#REF!</v>
      </c>
      <c r="DH10" t="e">
        <f>AND(#REF!,"AAAAADf5d28=")</f>
        <v>#REF!</v>
      </c>
      <c r="DI10" t="e">
        <f>AND(#REF!,"AAAAADf5d3A=")</f>
        <v>#REF!</v>
      </c>
      <c r="DJ10" t="e">
        <f>AND(#REF!,"AAAAADf5d3E=")</f>
        <v>#REF!</v>
      </c>
      <c r="DK10" t="e">
        <f>AND(#REF!,"AAAAADf5d3I=")</f>
        <v>#REF!</v>
      </c>
      <c r="DL10" t="e">
        <f>AND(#REF!,"AAAAADf5d3M=")</f>
        <v>#REF!</v>
      </c>
      <c r="DM10" t="e">
        <f>IF(#REF!,"AAAAADf5d3Q=",0)</f>
        <v>#REF!</v>
      </c>
      <c r="DN10" t="e">
        <f>AND(#REF!,"AAAAADf5d3U=")</f>
        <v>#REF!</v>
      </c>
      <c r="DO10" t="e">
        <f>AND(#REF!,"AAAAADf5d3Y=")</f>
        <v>#REF!</v>
      </c>
      <c r="DP10" t="e">
        <f>AND(#REF!,"AAAAADf5d3c=")</f>
        <v>#REF!</v>
      </c>
      <c r="DQ10" t="e">
        <f>AND(#REF!,"AAAAADf5d3g=")</f>
        <v>#REF!</v>
      </c>
      <c r="DR10" t="e">
        <f>AND(#REF!,"AAAAADf5d3k=")</f>
        <v>#REF!</v>
      </c>
      <c r="DS10" t="e">
        <f>AND(#REF!,"AAAAADf5d3o=")</f>
        <v>#REF!</v>
      </c>
      <c r="DT10" t="e">
        <f>AND(#REF!,"AAAAADf5d3s=")</f>
        <v>#REF!</v>
      </c>
      <c r="DU10" t="e">
        <f>AND(#REF!,"AAAAADf5d3w=")</f>
        <v>#REF!</v>
      </c>
      <c r="DV10" t="e">
        <f>AND(#REF!,"AAAAADf5d30=")</f>
        <v>#REF!</v>
      </c>
      <c r="DW10" t="e">
        <f>AND(#REF!,"AAAAADf5d34=")</f>
        <v>#REF!</v>
      </c>
      <c r="DX10" t="e">
        <f>AND(#REF!,"AAAAADf5d38=")</f>
        <v>#REF!</v>
      </c>
      <c r="DY10" t="e">
        <f>AND(#REF!,"AAAAADf5d4A=")</f>
        <v>#REF!</v>
      </c>
      <c r="DZ10" t="e">
        <f>AND(#REF!,"AAAAADf5d4E=")</f>
        <v>#REF!</v>
      </c>
      <c r="EA10" t="e">
        <f>AND(#REF!,"AAAAADf5d4I=")</f>
        <v>#REF!</v>
      </c>
      <c r="EB10" t="e">
        <f>AND(#REF!,"AAAAADf5d4M=")</f>
        <v>#REF!</v>
      </c>
      <c r="EC10" t="e">
        <f>AND(#REF!,"AAAAADf5d4Q=")</f>
        <v>#REF!</v>
      </c>
      <c r="ED10" t="e">
        <f>AND(#REF!,"AAAAADf5d4U=")</f>
        <v>#REF!</v>
      </c>
      <c r="EE10" t="e">
        <f>AND(#REF!,"AAAAADf5d4Y=")</f>
        <v>#REF!</v>
      </c>
      <c r="EF10" t="e">
        <f>AND(#REF!,"AAAAADf5d4c=")</f>
        <v>#REF!</v>
      </c>
      <c r="EG10" t="e">
        <f>IF(#REF!,"AAAAADf5d4g=",0)</f>
        <v>#REF!</v>
      </c>
      <c r="EH10" t="e">
        <f>AND(#REF!,"AAAAADf5d4k=")</f>
        <v>#REF!</v>
      </c>
      <c r="EI10" t="e">
        <f>AND(#REF!,"AAAAADf5d4o=")</f>
        <v>#REF!</v>
      </c>
      <c r="EJ10" t="e">
        <f>AND(#REF!,"AAAAADf5d4s=")</f>
        <v>#REF!</v>
      </c>
      <c r="EK10" t="e">
        <f>AND(#REF!,"AAAAADf5d4w=")</f>
        <v>#REF!</v>
      </c>
      <c r="EL10" t="e">
        <f>AND(#REF!,"AAAAADf5d40=")</f>
        <v>#REF!</v>
      </c>
      <c r="EM10" t="e">
        <f>AND(#REF!,"AAAAADf5d44=")</f>
        <v>#REF!</v>
      </c>
      <c r="EN10" t="e">
        <f>AND(#REF!,"AAAAADf5d48=")</f>
        <v>#REF!</v>
      </c>
      <c r="EO10" t="e">
        <f>AND(#REF!,"AAAAADf5d5A=")</f>
        <v>#REF!</v>
      </c>
      <c r="EP10" t="e">
        <f>AND(#REF!,"AAAAADf5d5E=")</f>
        <v>#REF!</v>
      </c>
      <c r="EQ10" t="e">
        <f>AND(#REF!,"AAAAADf5d5I=")</f>
        <v>#REF!</v>
      </c>
      <c r="ER10" t="e">
        <f>AND(#REF!,"AAAAADf5d5M=")</f>
        <v>#REF!</v>
      </c>
      <c r="ES10" t="e">
        <f>AND(#REF!,"AAAAADf5d5Q=")</f>
        <v>#REF!</v>
      </c>
      <c r="ET10" t="e">
        <f>AND(#REF!,"AAAAADf5d5U=")</f>
        <v>#REF!</v>
      </c>
      <c r="EU10" t="e">
        <f>AND(#REF!,"AAAAADf5d5Y=")</f>
        <v>#REF!</v>
      </c>
      <c r="EV10" t="e">
        <f>AND(#REF!,"AAAAADf5d5c=")</f>
        <v>#REF!</v>
      </c>
      <c r="EW10" t="e">
        <f>AND(#REF!,"AAAAADf5d5g=")</f>
        <v>#REF!</v>
      </c>
      <c r="EX10" t="e">
        <f>AND(#REF!,"AAAAADf5d5k=")</f>
        <v>#REF!</v>
      </c>
      <c r="EY10" t="e">
        <f>AND(#REF!,"AAAAADf5d5o=")</f>
        <v>#REF!</v>
      </c>
      <c r="EZ10" t="e">
        <f>AND(#REF!,"AAAAADf5d5s=")</f>
        <v>#REF!</v>
      </c>
      <c r="FA10" t="e">
        <f>IF(#REF!,"AAAAADf5d5w=",0)</f>
        <v>#REF!</v>
      </c>
      <c r="FB10" t="e">
        <f>AND(#REF!,"AAAAADf5d50=")</f>
        <v>#REF!</v>
      </c>
      <c r="FC10" t="e">
        <f>AND(#REF!,"AAAAADf5d54=")</f>
        <v>#REF!</v>
      </c>
      <c r="FD10" t="e">
        <f>AND(#REF!,"AAAAADf5d58=")</f>
        <v>#REF!</v>
      </c>
      <c r="FE10" t="e">
        <f>AND(#REF!,"AAAAADf5d6A=")</f>
        <v>#REF!</v>
      </c>
      <c r="FF10" t="e">
        <f>AND(#REF!,"AAAAADf5d6E=")</f>
        <v>#REF!</v>
      </c>
      <c r="FG10" t="e">
        <f>AND(#REF!,"AAAAADf5d6I=")</f>
        <v>#REF!</v>
      </c>
      <c r="FH10" t="e">
        <f>AND(#REF!,"AAAAADf5d6M=")</f>
        <v>#REF!</v>
      </c>
      <c r="FI10" t="e">
        <f>AND(#REF!,"AAAAADf5d6Q=")</f>
        <v>#REF!</v>
      </c>
      <c r="FJ10" t="e">
        <f>AND(#REF!,"AAAAADf5d6U=")</f>
        <v>#REF!</v>
      </c>
      <c r="FK10" t="e">
        <f>AND(#REF!,"AAAAADf5d6Y=")</f>
        <v>#REF!</v>
      </c>
      <c r="FL10" t="e">
        <f>AND(#REF!,"AAAAADf5d6c=")</f>
        <v>#REF!</v>
      </c>
      <c r="FM10" t="e">
        <f>AND(#REF!,"AAAAADf5d6g=")</f>
        <v>#REF!</v>
      </c>
      <c r="FN10" t="e">
        <f>AND(#REF!,"AAAAADf5d6k=")</f>
        <v>#REF!</v>
      </c>
      <c r="FO10" t="e">
        <f>AND(#REF!,"AAAAADf5d6o=")</f>
        <v>#REF!</v>
      </c>
      <c r="FP10" t="e">
        <f>AND(#REF!,"AAAAADf5d6s=")</f>
        <v>#REF!</v>
      </c>
      <c r="FQ10" t="e">
        <f>AND(#REF!,"AAAAADf5d6w=")</f>
        <v>#REF!</v>
      </c>
      <c r="FR10" t="e">
        <f>AND(#REF!,"AAAAADf5d60=")</f>
        <v>#REF!</v>
      </c>
      <c r="FS10" t="e">
        <f>AND(#REF!,"AAAAADf5d64=")</f>
        <v>#REF!</v>
      </c>
      <c r="FT10" t="e">
        <f>AND(#REF!,"AAAAADf5d68=")</f>
        <v>#REF!</v>
      </c>
      <c r="FU10" t="e">
        <f>IF(#REF!,"AAAAADf5d7A=",0)</f>
        <v>#REF!</v>
      </c>
      <c r="FV10" t="e">
        <f>AND(#REF!,"AAAAADf5d7E=")</f>
        <v>#REF!</v>
      </c>
      <c r="FW10" t="e">
        <f>AND(#REF!,"AAAAADf5d7I=")</f>
        <v>#REF!</v>
      </c>
      <c r="FX10" t="e">
        <f>AND(#REF!,"AAAAADf5d7M=")</f>
        <v>#REF!</v>
      </c>
      <c r="FY10" t="e">
        <f>AND(#REF!,"AAAAADf5d7Q=")</f>
        <v>#REF!</v>
      </c>
      <c r="FZ10" t="e">
        <f>AND(#REF!,"AAAAADf5d7U=")</f>
        <v>#REF!</v>
      </c>
      <c r="GA10" t="e">
        <f>AND(#REF!,"AAAAADf5d7Y=")</f>
        <v>#REF!</v>
      </c>
      <c r="GB10" t="e">
        <f>AND(#REF!,"AAAAADf5d7c=")</f>
        <v>#REF!</v>
      </c>
      <c r="GC10" t="e">
        <f>AND(#REF!,"AAAAADf5d7g=")</f>
        <v>#REF!</v>
      </c>
      <c r="GD10" t="e">
        <f>AND(#REF!,"AAAAADf5d7k=")</f>
        <v>#REF!</v>
      </c>
      <c r="GE10" t="e">
        <f>AND(#REF!,"AAAAADf5d7o=")</f>
        <v>#REF!</v>
      </c>
      <c r="GF10" t="e">
        <f>AND(#REF!,"AAAAADf5d7s=")</f>
        <v>#REF!</v>
      </c>
      <c r="GG10" t="e">
        <f>AND(#REF!,"AAAAADf5d7w=")</f>
        <v>#REF!</v>
      </c>
      <c r="GH10" t="e">
        <f>AND(#REF!,"AAAAADf5d70=")</f>
        <v>#REF!</v>
      </c>
      <c r="GI10" t="e">
        <f>AND(#REF!,"AAAAADf5d74=")</f>
        <v>#REF!</v>
      </c>
      <c r="GJ10" t="e">
        <f>AND(#REF!,"AAAAADf5d78=")</f>
        <v>#REF!</v>
      </c>
      <c r="GK10" t="e">
        <f>AND(#REF!,"AAAAADf5d8A=")</f>
        <v>#REF!</v>
      </c>
      <c r="GL10" t="e">
        <f>AND(#REF!,"AAAAADf5d8E=")</f>
        <v>#REF!</v>
      </c>
      <c r="GM10" t="e">
        <f>AND(#REF!,"AAAAADf5d8I=")</f>
        <v>#REF!</v>
      </c>
      <c r="GN10" t="e">
        <f>AND(#REF!,"AAAAADf5d8M=")</f>
        <v>#REF!</v>
      </c>
      <c r="GO10" t="e">
        <f>IF(#REF!,"AAAAADf5d8Q=",0)</f>
        <v>#REF!</v>
      </c>
      <c r="GP10" t="e">
        <f>AND(#REF!,"AAAAADf5d8U=")</f>
        <v>#REF!</v>
      </c>
      <c r="GQ10" t="e">
        <f>AND(#REF!,"AAAAADf5d8Y=")</f>
        <v>#REF!</v>
      </c>
      <c r="GR10" t="e">
        <f>AND(#REF!,"AAAAADf5d8c=")</f>
        <v>#REF!</v>
      </c>
      <c r="GS10" t="e">
        <f>AND(#REF!,"AAAAADf5d8g=")</f>
        <v>#REF!</v>
      </c>
      <c r="GT10" t="e">
        <f>AND(#REF!,"AAAAADf5d8k=")</f>
        <v>#REF!</v>
      </c>
      <c r="GU10" t="e">
        <f>AND(#REF!,"AAAAADf5d8o=")</f>
        <v>#REF!</v>
      </c>
      <c r="GV10" t="e">
        <f>AND(#REF!,"AAAAADf5d8s=")</f>
        <v>#REF!</v>
      </c>
      <c r="GW10" t="e">
        <f>AND(#REF!,"AAAAADf5d8w=")</f>
        <v>#REF!</v>
      </c>
      <c r="GX10" t="e">
        <f>AND(#REF!,"AAAAADf5d80=")</f>
        <v>#REF!</v>
      </c>
      <c r="GY10" t="e">
        <f>AND(#REF!,"AAAAADf5d84=")</f>
        <v>#REF!</v>
      </c>
      <c r="GZ10" t="e">
        <f>AND(#REF!,"AAAAADf5d88=")</f>
        <v>#REF!</v>
      </c>
      <c r="HA10" t="e">
        <f>AND(#REF!,"AAAAADf5d9A=")</f>
        <v>#REF!</v>
      </c>
      <c r="HB10" t="e">
        <f>AND(#REF!,"AAAAADf5d9E=")</f>
        <v>#REF!</v>
      </c>
      <c r="HC10" t="e">
        <f>AND(#REF!,"AAAAADf5d9I=")</f>
        <v>#REF!</v>
      </c>
      <c r="HD10" t="e">
        <f>AND(#REF!,"AAAAADf5d9M=")</f>
        <v>#REF!</v>
      </c>
      <c r="HE10" t="e">
        <f>AND(#REF!,"AAAAADf5d9Q=")</f>
        <v>#REF!</v>
      </c>
      <c r="HF10" t="e">
        <f>AND(#REF!,"AAAAADf5d9U=")</f>
        <v>#REF!</v>
      </c>
      <c r="HG10" t="e">
        <f>AND(#REF!,"AAAAADf5d9Y=")</f>
        <v>#REF!</v>
      </c>
      <c r="HH10" t="e">
        <f>AND(#REF!,"AAAAADf5d9c=")</f>
        <v>#REF!</v>
      </c>
      <c r="HI10" t="e">
        <f>IF(#REF!,"AAAAADf5d9g=",0)</f>
        <v>#REF!</v>
      </c>
      <c r="HJ10" t="e">
        <f>AND(#REF!,"AAAAADf5d9k=")</f>
        <v>#REF!</v>
      </c>
      <c r="HK10" t="e">
        <f>AND(#REF!,"AAAAADf5d9o=")</f>
        <v>#REF!</v>
      </c>
      <c r="HL10" t="e">
        <f>AND(#REF!,"AAAAADf5d9s=")</f>
        <v>#REF!</v>
      </c>
      <c r="HM10" t="e">
        <f>AND(#REF!,"AAAAADf5d9w=")</f>
        <v>#REF!</v>
      </c>
      <c r="HN10" t="e">
        <f>AND(#REF!,"AAAAADf5d90=")</f>
        <v>#REF!</v>
      </c>
      <c r="HO10" t="e">
        <f>AND(#REF!,"AAAAADf5d94=")</f>
        <v>#REF!</v>
      </c>
      <c r="HP10" t="e">
        <f>AND(#REF!,"AAAAADf5d98=")</f>
        <v>#REF!</v>
      </c>
      <c r="HQ10" t="e">
        <f>AND(#REF!,"AAAAADf5d+A=")</f>
        <v>#REF!</v>
      </c>
      <c r="HR10" t="e">
        <f>AND(#REF!,"AAAAADf5d+E=")</f>
        <v>#REF!</v>
      </c>
      <c r="HS10" t="e">
        <f>AND(#REF!,"AAAAADf5d+I=")</f>
        <v>#REF!</v>
      </c>
      <c r="HT10" t="e">
        <f>AND(#REF!,"AAAAADf5d+M=")</f>
        <v>#REF!</v>
      </c>
      <c r="HU10" t="e">
        <f>AND(#REF!,"AAAAADf5d+Q=")</f>
        <v>#REF!</v>
      </c>
      <c r="HV10" t="e">
        <f>AND(#REF!,"AAAAADf5d+U=")</f>
        <v>#REF!</v>
      </c>
      <c r="HW10" t="e">
        <f>AND(#REF!,"AAAAADf5d+Y=")</f>
        <v>#REF!</v>
      </c>
      <c r="HX10" t="e">
        <f>AND(#REF!,"AAAAADf5d+c=")</f>
        <v>#REF!</v>
      </c>
      <c r="HY10" t="e">
        <f>AND(#REF!,"AAAAADf5d+g=")</f>
        <v>#REF!</v>
      </c>
      <c r="HZ10" t="e">
        <f>AND(#REF!,"AAAAADf5d+k=")</f>
        <v>#REF!</v>
      </c>
      <c r="IA10" t="e">
        <f>AND(#REF!,"AAAAADf5d+o=")</f>
        <v>#REF!</v>
      </c>
      <c r="IB10" t="e">
        <f>AND(#REF!,"AAAAADf5d+s=")</f>
        <v>#REF!</v>
      </c>
      <c r="IC10" t="e">
        <f>IF(#REF!,"AAAAADf5d+w=",0)</f>
        <v>#REF!</v>
      </c>
      <c r="ID10" t="e">
        <f>AND(#REF!,"AAAAADf5d+0=")</f>
        <v>#REF!</v>
      </c>
      <c r="IE10" t="e">
        <f>AND(#REF!,"AAAAADf5d+4=")</f>
        <v>#REF!</v>
      </c>
      <c r="IF10" t="e">
        <f>AND(#REF!,"AAAAADf5d+8=")</f>
        <v>#REF!</v>
      </c>
      <c r="IG10" t="e">
        <f>AND(#REF!,"AAAAADf5d/A=")</f>
        <v>#REF!</v>
      </c>
      <c r="IH10" t="e">
        <f>AND(#REF!,"AAAAADf5d/E=")</f>
        <v>#REF!</v>
      </c>
      <c r="II10" t="e">
        <f>AND(#REF!,"AAAAADf5d/I=")</f>
        <v>#REF!</v>
      </c>
      <c r="IJ10" t="e">
        <f>AND(#REF!,"AAAAADf5d/M=")</f>
        <v>#REF!</v>
      </c>
      <c r="IK10" t="e">
        <f>AND(#REF!,"AAAAADf5d/Q=")</f>
        <v>#REF!</v>
      </c>
      <c r="IL10" t="e">
        <f>AND(#REF!,"AAAAADf5d/U=")</f>
        <v>#REF!</v>
      </c>
      <c r="IM10" t="e">
        <f>AND(#REF!,"AAAAADf5d/Y=")</f>
        <v>#REF!</v>
      </c>
      <c r="IN10" t="e">
        <f>AND(#REF!,"AAAAADf5d/c=")</f>
        <v>#REF!</v>
      </c>
      <c r="IO10" t="e">
        <f>AND(#REF!,"AAAAADf5d/g=")</f>
        <v>#REF!</v>
      </c>
      <c r="IP10" t="e">
        <f>AND(#REF!,"AAAAADf5d/k=")</f>
        <v>#REF!</v>
      </c>
      <c r="IQ10" t="e">
        <f>AND(#REF!,"AAAAADf5d/o=")</f>
        <v>#REF!</v>
      </c>
      <c r="IR10" t="e">
        <f>AND(#REF!,"AAAAADf5d/s=")</f>
        <v>#REF!</v>
      </c>
      <c r="IS10" t="e">
        <f>AND(#REF!,"AAAAADf5d/w=")</f>
        <v>#REF!</v>
      </c>
      <c r="IT10" t="e">
        <f>AND(#REF!,"AAAAADf5d/0=")</f>
        <v>#REF!</v>
      </c>
      <c r="IU10" t="e">
        <f>AND(#REF!,"AAAAADf5d/4=")</f>
        <v>#REF!</v>
      </c>
      <c r="IV10" t="e">
        <f>AND(#REF!,"AAAAADf5d/8=")</f>
        <v>#REF!</v>
      </c>
    </row>
    <row r="11" spans="1:256" x14ac:dyDescent="0.15">
      <c r="A11" t="e">
        <f>IF(#REF!,"AAAAAGXdqQA=",0)</f>
        <v>#REF!</v>
      </c>
      <c r="B11" t="e">
        <f>AND(#REF!,"AAAAAGXdqQE=")</f>
        <v>#REF!</v>
      </c>
      <c r="C11" t="e">
        <f>AND(#REF!,"AAAAAGXdqQI=")</f>
        <v>#REF!</v>
      </c>
      <c r="D11" t="e">
        <f>AND(#REF!,"AAAAAGXdqQM=")</f>
        <v>#REF!</v>
      </c>
      <c r="E11" t="e">
        <f>AND(#REF!,"AAAAAGXdqQQ=")</f>
        <v>#REF!</v>
      </c>
      <c r="F11" t="e">
        <f>AND(#REF!,"AAAAAGXdqQU=")</f>
        <v>#REF!</v>
      </c>
      <c r="G11" t="e">
        <f>AND(#REF!,"AAAAAGXdqQY=")</f>
        <v>#REF!</v>
      </c>
      <c r="H11" t="e">
        <f>AND(#REF!,"AAAAAGXdqQc=")</f>
        <v>#REF!</v>
      </c>
      <c r="I11" t="e">
        <f>AND(#REF!,"AAAAAGXdqQg=")</f>
        <v>#REF!</v>
      </c>
      <c r="J11" t="e">
        <f>AND(#REF!,"AAAAAGXdqQk=")</f>
        <v>#REF!</v>
      </c>
      <c r="K11" t="e">
        <f>AND(#REF!,"AAAAAGXdqQo=")</f>
        <v>#REF!</v>
      </c>
      <c r="L11" t="e">
        <f>AND(#REF!,"AAAAAGXdqQs=")</f>
        <v>#REF!</v>
      </c>
      <c r="M11" t="e">
        <f>AND(#REF!,"AAAAAGXdqQw=")</f>
        <v>#REF!</v>
      </c>
      <c r="N11" t="e">
        <f>AND(#REF!,"AAAAAGXdqQ0=")</f>
        <v>#REF!</v>
      </c>
      <c r="O11" t="e">
        <f>AND(#REF!,"AAAAAGXdqQ4=")</f>
        <v>#REF!</v>
      </c>
      <c r="P11" t="e">
        <f>AND(#REF!,"AAAAAGXdqQ8=")</f>
        <v>#REF!</v>
      </c>
      <c r="Q11" t="e">
        <f>AND(#REF!,"AAAAAGXdqRA=")</f>
        <v>#REF!</v>
      </c>
      <c r="R11" t="e">
        <f>AND(#REF!,"AAAAAGXdqRE=")</f>
        <v>#REF!</v>
      </c>
      <c r="S11" t="e">
        <f>AND(#REF!,"AAAAAGXdqRI=")</f>
        <v>#REF!</v>
      </c>
      <c r="T11" t="e">
        <f>AND(#REF!,"AAAAAGXdqRM=")</f>
        <v>#REF!</v>
      </c>
      <c r="U11" t="e">
        <f>IF(#REF!,"AAAAAGXdqRQ=",0)</f>
        <v>#REF!</v>
      </c>
      <c r="V11" t="e">
        <f>AND(#REF!,"AAAAAGXdqRU=")</f>
        <v>#REF!</v>
      </c>
      <c r="W11" t="e">
        <f>AND(#REF!,"AAAAAGXdqRY=")</f>
        <v>#REF!</v>
      </c>
      <c r="X11" t="e">
        <f>AND(#REF!,"AAAAAGXdqRc=")</f>
        <v>#REF!</v>
      </c>
      <c r="Y11" t="e">
        <f>AND(#REF!,"AAAAAGXdqRg=")</f>
        <v>#REF!</v>
      </c>
      <c r="Z11" t="e">
        <f>AND(#REF!,"AAAAAGXdqRk=")</f>
        <v>#REF!</v>
      </c>
      <c r="AA11" t="e">
        <f>AND(#REF!,"AAAAAGXdqRo=")</f>
        <v>#REF!</v>
      </c>
      <c r="AB11" t="e">
        <f>AND(#REF!,"AAAAAGXdqRs=")</f>
        <v>#REF!</v>
      </c>
      <c r="AC11" t="e">
        <f>AND(#REF!,"AAAAAGXdqRw=")</f>
        <v>#REF!</v>
      </c>
      <c r="AD11" t="e">
        <f>AND(#REF!,"AAAAAGXdqR0=")</f>
        <v>#REF!</v>
      </c>
      <c r="AE11" t="e">
        <f>AND(#REF!,"AAAAAGXdqR4=")</f>
        <v>#REF!</v>
      </c>
      <c r="AF11" t="e">
        <f>AND(#REF!,"AAAAAGXdqR8=")</f>
        <v>#REF!</v>
      </c>
      <c r="AG11" t="e">
        <f>AND(#REF!,"AAAAAGXdqSA=")</f>
        <v>#REF!</v>
      </c>
      <c r="AH11" t="e">
        <f>AND(#REF!,"AAAAAGXdqSE=")</f>
        <v>#REF!</v>
      </c>
      <c r="AI11" t="e">
        <f>AND(#REF!,"AAAAAGXdqSI=")</f>
        <v>#REF!</v>
      </c>
      <c r="AJ11" t="e">
        <f>AND(#REF!,"AAAAAGXdqSM=")</f>
        <v>#REF!</v>
      </c>
      <c r="AK11" t="e">
        <f>AND(#REF!,"AAAAAGXdqSQ=")</f>
        <v>#REF!</v>
      </c>
      <c r="AL11" t="e">
        <f>AND(#REF!,"AAAAAGXdqSU=")</f>
        <v>#REF!</v>
      </c>
      <c r="AM11" t="e">
        <f>AND(#REF!,"AAAAAGXdqSY=")</f>
        <v>#REF!</v>
      </c>
      <c r="AN11" t="e">
        <f>AND(#REF!,"AAAAAGXdqSc=")</f>
        <v>#REF!</v>
      </c>
      <c r="AO11" t="e">
        <f>IF(#REF!,"AAAAAGXdqSg=",0)</f>
        <v>#REF!</v>
      </c>
      <c r="AP11" t="e">
        <f>AND(#REF!,"AAAAAGXdqSk=")</f>
        <v>#REF!</v>
      </c>
      <c r="AQ11" t="e">
        <f>AND(#REF!,"AAAAAGXdqSo=")</f>
        <v>#REF!</v>
      </c>
      <c r="AR11" t="e">
        <f>AND(#REF!,"AAAAAGXdqSs=")</f>
        <v>#REF!</v>
      </c>
      <c r="AS11" t="e">
        <f>AND(#REF!,"AAAAAGXdqSw=")</f>
        <v>#REF!</v>
      </c>
      <c r="AT11" t="e">
        <f>AND(#REF!,"AAAAAGXdqS0=")</f>
        <v>#REF!</v>
      </c>
      <c r="AU11" t="e">
        <f>AND(#REF!,"AAAAAGXdqS4=")</f>
        <v>#REF!</v>
      </c>
      <c r="AV11" t="e">
        <f>AND(#REF!,"AAAAAGXdqS8=")</f>
        <v>#REF!</v>
      </c>
      <c r="AW11" t="e">
        <f>AND(#REF!,"AAAAAGXdqTA=")</f>
        <v>#REF!</v>
      </c>
      <c r="AX11" t="e">
        <f>AND(#REF!,"AAAAAGXdqTE=")</f>
        <v>#REF!</v>
      </c>
      <c r="AY11" t="e">
        <f>AND(#REF!,"AAAAAGXdqTI=")</f>
        <v>#REF!</v>
      </c>
      <c r="AZ11" t="e">
        <f>AND(#REF!,"AAAAAGXdqTM=")</f>
        <v>#REF!</v>
      </c>
      <c r="BA11" t="e">
        <f>AND(#REF!,"AAAAAGXdqTQ=")</f>
        <v>#REF!</v>
      </c>
      <c r="BB11" t="e">
        <f>AND(#REF!,"AAAAAGXdqTU=")</f>
        <v>#REF!</v>
      </c>
      <c r="BC11" t="e">
        <f>AND(#REF!,"AAAAAGXdqTY=")</f>
        <v>#REF!</v>
      </c>
      <c r="BD11" t="e">
        <f>AND(#REF!,"AAAAAGXdqTc=")</f>
        <v>#REF!</v>
      </c>
      <c r="BE11" t="e">
        <f>AND(#REF!,"AAAAAGXdqTg=")</f>
        <v>#REF!</v>
      </c>
      <c r="BF11" t="e">
        <f>AND(#REF!,"AAAAAGXdqTk=")</f>
        <v>#REF!</v>
      </c>
      <c r="BG11" t="e">
        <f>AND(#REF!,"AAAAAGXdqTo=")</f>
        <v>#REF!</v>
      </c>
      <c r="BH11" t="e">
        <f>AND(#REF!,"AAAAAGXdqTs=")</f>
        <v>#REF!</v>
      </c>
      <c r="BI11" t="e">
        <f>IF(#REF!,"AAAAAGXdqTw=",0)</f>
        <v>#REF!</v>
      </c>
      <c r="BJ11" t="e">
        <f>AND(#REF!,"AAAAAGXdqT0=")</f>
        <v>#REF!</v>
      </c>
      <c r="BK11" t="e">
        <f>AND(#REF!,"AAAAAGXdqT4=")</f>
        <v>#REF!</v>
      </c>
      <c r="BL11" t="e">
        <f>AND(#REF!,"AAAAAGXdqT8=")</f>
        <v>#REF!</v>
      </c>
      <c r="BM11" t="e">
        <f>AND(#REF!,"AAAAAGXdqUA=")</f>
        <v>#REF!</v>
      </c>
      <c r="BN11" t="e">
        <f>AND(#REF!,"AAAAAGXdqUE=")</f>
        <v>#REF!</v>
      </c>
      <c r="BO11" t="e">
        <f>AND(#REF!,"AAAAAGXdqUI=")</f>
        <v>#REF!</v>
      </c>
      <c r="BP11" t="e">
        <f>AND(#REF!,"AAAAAGXdqUM=")</f>
        <v>#REF!</v>
      </c>
      <c r="BQ11" t="e">
        <f>AND(#REF!,"AAAAAGXdqUQ=")</f>
        <v>#REF!</v>
      </c>
      <c r="BR11" t="e">
        <f>AND(#REF!,"AAAAAGXdqUU=")</f>
        <v>#REF!</v>
      </c>
      <c r="BS11" t="e">
        <f>AND(#REF!,"AAAAAGXdqUY=")</f>
        <v>#REF!</v>
      </c>
      <c r="BT11" t="e">
        <f>AND(#REF!,"AAAAAGXdqUc=")</f>
        <v>#REF!</v>
      </c>
      <c r="BU11" t="e">
        <f>AND(#REF!,"AAAAAGXdqUg=")</f>
        <v>#REF!</v>
      </c>
      <c r="BV11" t="e">
        <f>AND(#REF!,"AAAAAGXdqUk=")</f>
        <v>#REF!</v>
      </c>
      <c r="BW11" t="e">
        <f>AND(#REF!,"AAAAAGXdqUo=")</f>
        <v>#REF!</v>
      </c>
      <c r="BX11" t="e">
        <f>AND(#REF!,"AAAAAGXdqUs=")</f>
        <v>#REF!</v>
      </c>
      <c r="BY11" t="e">
        <f>AND(#REF!,"AAAAAGXdqUw=")</f>
        <v>#REF!</v>
      </c>
      <c r="BZ11" t="e">
        <f>AND(#REF!,"AAAAAGXdqU0=")</f>
        <v>#REF!</v>
      </c>
      <c r="CA11" t="e">
        <f>AND(#REF!,"AAAAAGXdqU4=")</f>
        <v>#REF!</v>
      </c>
      <c r="CB11" t="e">
        <f>AND(#REF!,"AAAAAGXdqU8=")</f>
        <v>#REF!</v>
      </c>
      <c r="CC11" t="e">
        <f>IF(#REF!,"AAAAAGXdqVA=",0)</f>
        <v>#REF!</v>
      </c>
      <c r="CD11" t="e">
        <f>AND(#REF!,"AAAAAGXdqVE=")</f>
        <v>#REF!</v>
      </c>
      <c r="CE11" t="e">
        <f>AND(#REF!,"AAAAAGXdqVI=")</f>
        <v>#REF!</v>
      </c>
      <c r="CF11" t="e">
        <f>AND(#REF!,"AAAAAGXdqVM=")</f>
        <v>#REF!</v>
      </c>
      <c r="CG11" t="e">
        <f>AND(#REF!,"AAAAAGXdqVQ=")</f>
        <v>#REF!</v>
      </c>
      <c r="CH11" t="e">
        <f>AND(#REF!,"AAAAAGXdqVU=")</f>
        <v>#REF!</v>
      </c>
      <c r="CI11" t="e">
        <f>AND(#REF!,"AAAAAGXdqVY=")</f>
        <v>#REF!</v>
      </c>
      <c r="CJ11" t="e">
        <f>AND(#REF!,"AAAAAGXdqVc=")</f>
        <v>#REF!</v>
      </c>
      <c r="CK11" t="e">
        <f>AND(#REF!,"AAAAAGXdqVg=")</f>
        <v>#REF!</v>
      </c>
      <c r="CL11" t="e">
        <f>AND(#REF!,"AAAAAGXdqVk=")</f>
        <v>#REF!</v>
      </c>
      <c r="CM11" t="e">
        <f>AND(#REF!,"AAAAAGXdqVo=")</f>
        <v>#REF!</v>
      </c>
      <c r="CN11" t="e">
        <f>AND(#REF!,"AAAAAGXdqVs=")</f>
        <v>#REF!</v>
      </c>
      <c r="CO11" t="e">
        <f>AND(#REF!,"AAAAAGXdqVw=")</f>
        <v>#REF!</v>
      </c>
      <c r="CP11" t="e">
        <f>AND(#REF!,"AAAAAGXdqV0=")</f>
        <v>#REF!</v>
      </c>
      <c r="CQ11" t="e">
        <f>AND(#REF!,"AAAAAGXdqV4=")</f>
        <v>#REF!</v>
      </c>
      <c r="CR11" t="e">
        <f>AND(#REF!,"AAAAAGXdqV8=")</f>
        <v>#REF!</v>
      </c>
      <c r="CS11" t="e">
        <f>AND(#REF!,"AAAAAGXdqWA=")</f>
        <v>#REF!</v>
      </c>
      <c r="CT11" t="e">
        <f>AND(#REF!,"AAAAAGXdqWE=")</f>
        <v>#REF!</v>
      </c>
      <c r="CU11" t="e">
        <f>AND(#REF!,"AAAAAGXdqWI=")</f>
        <v>#REF!</v>
      </c>
      <c r="CV11" t="e">
        <f>AND(#REF!,"AAAAAGXdqWM=")</f>
        <v>#REF!</v>
      </c>
      <c r="CW11" t="e">
        <f>IF(#REF!,"AAAAAGXdqWQ=",0)</f>
        <v>#REF!</v>
      </c>
      <c r="CX11" t="e">
        <f>AND(#REF!,"AAAAAGXdqWU=")</f>
        <v>#REF!</v>
      </c>
      <c r="CY11" t="e">
        <f>AND(#REF!,"AAAAAGXdqWY=")</f>
        <v>#REF!</v>
      </c>
      <c r="CZ11" t="e">
        <f>AND(#REF!,"AAAAAGXdqWc=")</f>
        <v>#REF!</v>
      </c>
      <c r="DA11" t="e">
        <f>AND(#REF!,"AAAAAGXdqWg=")</f>
        <v>#REF!</v>
      </c>
      <c r="DB11" t="e">
        <f>AND(#REF!,"AAAAAGXdqWk=")</f>
        <v>#REF!</v>
      </c>
      <c r="DC11" t="e">
        <f>AND(#REF!,"AAAAAGXdqWo=")</f>
        <v>#REF!</v>
      </c>
      <c r="DD11" t="e">
        <f>AND(#REF!,"AAAAAGXdqWs=")</f>
        <v>#REF!</v>
      </c>
      <c r="DE11" t="e">
        <f>AND(#REF!,"AAAAAGXdqWw=")</f>
        <v>#REF!</v>
      </c>
      <c r="DF11" t="e">
        <f>AND(#REF!,"AAAAAGXdqW0=")</f>
        <v>#REF!</v>
      </c>
      <c r="DG11" t="e">
        <f>AND(#REF!,"AAAAAGXdqW4=")</f>
        <v>#REF!</v>
      </c>
      <c r="DH11" t="e">
        <f>AND(#REF!,"AAAAAGXdqW8=")</f>
        <v>#REF!</v>
      </c>
      <c r="DI11" t="e">
        <f>AND(#REF!,"AAAAAGXdqXA=")</f>
        <v>#REF!</v>
      </c>
      <c r="DJ11" t="e">
        <f>AND(#REF!,"AAAAAGXdqXE=")</f>
        <v>#REF!</v>
      </c>
      <c r="DK11" t="e">
        <f>AND(#REF!,"AAAAAGXdqXI=")</f>
        <v>#REF!</v>
      </c>
      <c r="DL11" t="e">
        <f>AND(#REF!,"AAAAAGXdqXM=")</f>
        <v>#REF!</v>
      </c>
      <c r="DM11" t="e">
        <f>AND(#REF!,"AAAAAGXdqXQ=")</f>
        <v>#REF!</v>
      </c>
      <c r="DN11" t="e">
        <f>AND(#REF!,"AAAAAGXdqXU=")</f>
        <v>#REF!</v>
      </c>
      <c r="DO11" t="e">
        <f>AND(#REF!,"AAAAAGXdqXY=")</f>
        <v>#REF!</v>
      </c>
      <c r="DP11" t="e">
        <f>AND(#REF!,"AAAAAGXdqXc=")</f>
        <v>#REF!</v>
      </c>
      <c r="DQ11" t="e">
        <f>IF(#REF!,"AAAAAGXdqXg=",0)</f>
        <v>#REF!</v>
      </c>
      <c r="DR11" t="e">
        <f>AND(#REF!,"AAAAAGXdqXk=")</f>
        <v>#REF!</v>
      </c>
      <c r="DS11" t="e">
        <f>AND(#REF!,"AAAAAGXdqXo=")</f>
        <v>#REF!</v>
      </c>
      <c r="DT11" t="e">
        <f>AND(#REF!,"AAAAAGXdqXs=")</f>
        <v>#REF!</v>
      </c>
      <c r="DU11" t="e">
        <f>AND(#REF!,"AAAAAGXdqXw=")</f>
        <v>#REF!</v>
      </c>
      <c r="DV11" t="e">
        <f>AND(#REF!,"AAAAAGXdqX0=")</f>
        <v>#REF!</v>
      </c>
      <c r="DW11" t="e">
        <f>AND(#REF!,"AAAAAGXdqX4=")</f>
        <v>#REF!</v>
      </c>
      <c r="DX11" t="e">
        <f>AND(#REF!,"AAAAAGXdqX8=")</f>
        <v>#REF!</v>
      </c>
      <c r="DY11" t="e">
        <f>AND(#REF!,"AAAAAGXdqYA=")</f>
        <v>#REF!</v>
      </c>
      <c r="DZ11" t="e">
        <f>AND(#REF!,"AAAAAGXdqYE=")</f>
        <v>#REF!</v>
      </c>
      <c r="EA11" t="e">
        <f>AND(#REF!,"AAAAAGXdqYI=")</f>
        <v>#REF!</v>
      </c>
      <c r="EB11" t="e">
        <f>AND(#REF!,"AAAAAGXdqYM=")</f>
        <v>#REF!</v>
      </c>
      <c r="EC11" t="e">
        <f>AND(#REF!,"AAAAAGXdqYQ=")</f>
        <v>#REF!</v>
      </c>
      <c r="ED11" t="e">
        <f>AND(#REF!,"AAAAAGXdqYU=")</f>
        <v>#REF!</v>
      </c>
      <c r="EE11" t="e">
        <f>AND(#REF!,"AAAAAGXdqYY=")</f>
        <v>#REF!</v>
      </c>
      <c r="EF11" t="e">
        <f>AND(#REF!,"AAAAAGXdqYc=")</f>
        <v>#REF!</v>
      </c>
      <c r="EG11" t="e">
        <f>AND(#REF!,"AAAAAGXdqYg=")</f>
        <v>#REF!</v>
      </c>
      <c r="EH11" t="e">
        <f>AND(#REF!,"AAAAAGXdqYk=")</f>
        <v>#REF!</v>
      </c>
      <c r="EI11" t="e">
        <f>AND(#REF!,"AAAAAGXdqYo=")</f>
        <v>#REF!</v>
      </c>
      <c r="EJ11" t="e">
        <f>AND(#REF!,"AAAAAGXdqYs=")</f>
        <v>#REF!</v>
      </c>
      <c r="EK11" t="e">
        <f>IF(#REF!,"AAAAAGXdqYw=",0)</f>
        <v>#REF!</v>
      </c>
      <c r="EL11" t="e">
        <f>AND(#REF!,"AAAAAGXdqY0=")</f>
        <v>#REF!</v>
      </c>
      <c r="EM11" t="e">
        <f>AND(#REF!,"AAAAAGXdqY4=")</f>
        <v>#REF!</v>
      </c>
      <c r="EN11" t="e">
        <f>AND(#REF!,"AAAAAGXdqY8=")</f>
        <v>#REF!</v>
      </c>
      <c r="EO11" t="e">
        <f>AND(#REF!,"AAAAAGXdqZA=")</f>
        <v>#REF!</v>
      </c>
      <c r="EP11" t="e">
        <f>AND(#REF!,"AAAAAGXdqZE=")</f>
        <v>#REF!</v>
      </c>
      <c r="EQ11" t="e">
        <f>AND(#REF!,"AAAAAGXdqZI=")</f>
        <v>#REF!</v>
      </c>
      <c r="ER11" t="e">
        <f>AND(#REF!,"AAAAAGXdqZM=")</f>
        <v>#REF!</v>
      </c>
      <c r="ES11" t="e">
        <f>AND(#REF!,"AAAAAGXdqZQ=")</f>
        <v>#REF!</v>
      </c>
      <c r="ET11" t="e">
        <f>AND(#REF!,"AAAAAGXdqZU=")</f>
        <v>#REF!</v>
      </c>
      <c r="EU11" t="e">
        <f>AND(#REF!,"AAAAAGXdqZY=")</f>
        <v>#REF!</v>
      </c>
      <c r="EV11" t="e">
        <f>AND(#REF!,"AAAAAGXdqZc=")</f>
        <v>#REF!</v>
      </c>
      <c r="EW11" t="e">
        <f>AND(#REF!,"AAAAAGXdqZg=")</f>
        <v>#REF!</v>
      </c>
      <c r="EX11" t="e">
        <f>AND(#REF!,"AAAAAGXdqZk=")</f>
        <v>#REF!</v>
      </c>
      <c r="EY11" t="e">
        <f>AND(#REF!,"AAAAAGXdqZo=")</f>
        <v>#REF!</v>
      </c>
      <c r="EZ11" t="e">
        <f>AND(#REF!,"AAAAAGXdqZs=")</f>
        <v>#REF!</v>
      </c>
      <c r="FA11" t="e">
        <f>AND(#REF!,"AAAAAGXdqZw=")</f>
        <v>#REF!</v>
      </c>
      <c r="FB11" t="e">
        <f>AND(#REF!,"AAAAAGXdqZ0=")</f>
        <v>#REF!</v>
      </c>
      <c r="FC11" t="e">
        <f>AND(#REF!,"AAAAAGXdqZ4=")</f>
        <v>#REF!</v>
      </c>
      <c r="FD11" t="e">
        <f>AND(#REF!,"AAAAAGXdqZ8=")</f>
        <v>#REF!</v>
      </c>
      <c r="FE11" t="e">
        <f>IF(#REF!,"AAAAAGXdqaA=",0)</f>
        <v>#REF!</v>
      </c>
      <c r="FF11" t="e">
        <f>AND(#REF!,"AAAAAGXdqaE=")</f>
        <v>#REF!</v>
      </c>
      <c r="FG11" t="e">
        <f>AND(#REF!,"AAAAAGXdqaI=")</f>
        <v>#REF!</v>
      </c>
      <c r="FH11" t="e">
        <f>AND(#REF!,"AAAAAGXdqaM=")</f>
        <v>#REF!</v>
      </c>
      <c r="FI11" t="e">
        <f>AND(#REF!,"AAAAAGXdqaQ=")</f>
        <v>#REF!</v>
      </c>
      <c r="FJ11" t="e">
        <f>AND(#REF!,"AAAAAGXdqaU=")</f>
        <v>#REF!</v>
      </c>
      <c r="FK11" t="e">
        <f>AND(#REF!,"AAAAAGXdqaY=")</f>
        <v>#REF!</v>
      </c>
      <c r="FL11" t="e">
        <f>AND(#REF!,"AAAAAGXdqac=")</f>
        <v>#REF!</v>
      </c>
      <c r="FM11" t="e">
        <f>AND(#REF!,"AAAAAGXdqag=")</f>
        <v>#REF!</v>
      </c>
      <c r="FN11" t="e">
        <f>AND(#REF!,"AAAAAGXdqak=")</f>
        <v>#REF!</v>
      </c>
      <c r="FO11" t="e">
        <f>AND(#REF!,"AAAAAGXdqao=")</f>
        <v>#REF!</v>
      </c>
      <c r="FP11" t="e">
        <f>AND(#REF!,"AAAAAGXdqas=")</f>
        <v>#REF!</v>
      </c>
      <c r="FQ11" t="e">
        <f>AND(#REF!,"AAAAAGXdqaw=")</f>
        <v>#REF!</v>
      </c>
      <c r="FR11" t="e">
        <f>AND(#REF!,"AAAAAGXdqa0=")</f>
        <v>#REF!</v>
      </c>
      <c r="FS11" t="e">
        <f>AND(#REF!,"AAAAAGXdqa4=")</f>
        <v>#REF!</v>
      </c>
      <c r="FT11" t="e">
        <f>AND(#REF!,"AAAAAGXdqa8=")</f>
        <v>#REF!</v>
      </c>
      <c r="FU11" t="e">
        <f>AND(#REF!,"AAAAAGXdqbA=")</f>
        <v>#REF!</v>
      </c>
      <c r="FV11" t="e">
        <f>AND(#REF!,"AAAAAGXdqbE=")</f>
        <v>#REF!</v>
      </c>
      <c r="FW11" t="e">
        <f>AND(#REF!,"AAAAAGXdqbI=")</f>
        <v>#REF!</v>
      </c>
      <c r="FX11" t="e">
        <f>AND(#REF!,"AAAAAGXdqbM=")</f>
        <v>#REF!</v>
      </c>
      <c r="FY11" t="e">
        <f>IF(#REF!,"AAAAAGXdqbQ=",0)</f>
        <v>#REF!</v>
      </c>
      <c r="FZ11" t="e">
        <f>AND(#REF!,"AAAAAGXdqbU=")</f>
        <v>#REF!</v>
      </c>
      <c r="GA11" t="e">
        <f>AND(#REF!,"AAAAAGXdqbY=")</f>
        <v>#REF!</v>
      </c>
      <c r="GB11" t="e">
        <f>AND(#REF!,"AAAAAGXdqbc=")</f>
        <v>#REF!</v>
      </c>
      <c r="GC11" t="e">
        <f>AND(#REF!,"AAAAAGXdqbg=")</f>
        <v>#REF!</v>
      </c>
      <c r="GD11" t="e">
        <f>AND(#REF!,"AAAAAGXdqbk=")</f>
        <v>#REF!</v>
      </c>
      <c r="GE11" t="e">
        <f>AND(#REF!,"AAAAAGXdqbo=")</f>
        <v>#REF!</v>
      </c>
      <c r="GF11" t="e">
        <f>AND(#REF!,"AAAAAGXdqbs=")</f>
        <v>#REF!</v>
      </c>
      <c r="GG11" t="e">
        <f>AND(#REF!,"AAAAAGXdqbw=")</f>
        <v>#REF!</v>
      </c>
      <c r="GH11" t="e">
        <f>AND(#REF!,"AAAAAGXdqb0=")</f>
        <v>#REF!</v>
      </c>
      <c r="GI11" t="e">
        <f>AND(#REF!,"AAAAAGXdqb4=")</f>
        <v>#REF!</v>
      </c>
      <c r="GJ11" t="e">
        <f>AND(#REF!,"AAAAAGXdqb8=")</f>
        <v>#REF!</v>
      </c>
      <c r="GK11" t="e">
        <f>AND(#REF!,"AAAAAGXdqcA=")</f>
        <v>#REF!</v>
      </c>
      <c r="GL11" t="e">
        <f>AND(#REF!,"AAAAAGXdqcE=")</f>
        <v>#REF!</v>
      </c>
      <c r="GM11" t="e">
        <f>AND(#REF!,"AAAAAGXdqcI=")</f>
        <v>#REF!</v>
      </c>
      <c r="GN11" t="e">
        <f>AND(#REF!,"AAAAAGXdqcM=")</f>
        <v>#REF!</v>
      </c>
      <c r="GO11" t="e">
        <f>AND(#REF!,"AAAAAGXdqcQ=")</f>
        <v>#REF!</v>
      </c>
      <c r="GP11" t="e">
        <f>AND(#REF!,"AAAAAGXdqcU=")</f>
        <v>#REF!</v>
      </c>
      <c r="GQ11" t="e">
        <f>AND(#REF!,"AAAAAGXdqcY=")</f>
        <v>#REF!</v>
      </c>
      <c r="GR11" t="e">
        <f>AND(#REF!,"AAAAAGXdqcc=")</f>
        <v>#REF!</v>
      </c>
      <c r="GS11" t="e">
        <f>IF(#REF!,"AAAAAGXdqcg=",0)</f>
        <v>#REF!</v>
      </c>
      <c r="GT11" t="e">
        <f>AND(#REF!,"AAAAAGXdqck=")</f>
        <v>#REF!</v>
      </c>
      <c r="GU11" t="e">
        <f>AND(#REF!,"AAAAAGXdqco=")</f>
        <v>#REF!</v>
      </c>
      <c r="GV11" t="e">
        <f>AND(#REF!,"AAAAAGXdqcs=")</f>
        <v>#REF!</v>
      </c>
      <c r="GW11" t="e">
        <f>AND(#REF!,"AAAAAGXdqcw=")</f>
        <v>#REF!</v>
      </c>
      <c r="GX11" t="e">
        <f>AND(#REF!,"AAAAAGXdqc0=")</f>
        <v>#REF!</v>
      </c>
      <c r="GY11" t="e">
        <f>AND(#REF!,"AAAAAGXdqc4=")</f>
        <v>#REF!</v>
      </c>
      <c r="GZ11" t="e">
        <f>AND(#REF!,"AAAAAGXdqc8=")</f>
        <v>#REF!</v>
      </c>
      <c r="HA11" t="e">
        <f>AND(#REF!,"AAAAAGXdqdA=")</f>
        <v>#REF!</v>
      </c>
      <c r="HB11" t="e">
        <f>AND(#REF!,"AAAAAGXdqdE=")</f>
        <v>#REF!</v>
      </c>
      <c r="HC11" t="e">
        <f>AND(#REF!,"AAAAAGXdqdI=")</f>
        <v>#REF!</v>
      </c>
      <c r="HD11" t="e">
        <f>AND(#REF!,"AAAAAGXdqdM=")</f>
        <v>#REF!</v>
      </c>
      <c r="HE11" t="e">
        <f>AND(#REF!,"AAAAAGXdqdQ=")</f>
        <v>#REF!</v>
      </c>
      <c r="HF11" t="e">
        <f>AND(#REF!,"AAAAAGXdqdU=")</f>
        <v>#REF!</v>
      </c>
      <c r="HG11" t="e">
        <f>AND(#REF!,"AAAAAGXdqdY=")</f>
        <v>#REF!</v>
      </c>
      <c r="HH11" t="e">
        <f>AND(#REF!,"AAAAAGXdqdc=")</f>
        <v>#REF!</v>
      </c>
      <c r="HI11" t="e">
        <f>AND(#REF!,"AAAAAGXdqdg=")</f>
        <v>#REF!</v>
      </c>
      <c r="HJ11" t="e">
        <f>AND(#REF!,"AAAAAGXdqdk=")</f>
        <v>#REF!</v>
      </c>
      <c r="HK11" t="e">
        <f>AND(#REF!,"AAAAAGXdqdo=")</f>
        <v>#REF!</v>
      </c>
      <c r="HL11" t="e">
        <f>AND(#REF!,"AAAAAGXdqds=")</f>
        <v>#REF!</v>
      </c>
      <c r="HM11" t="e">
        <f>IF(#REF!,"AAAAAGXdqdw=",0)</f>
        <v>#REF!</v>
      </c>
      <c r="HN11" t="e">
        <f>AND(#REF!,"AAAAAGXdqd0=")</f>
        <v>#REF!</v>
      </c>
      <c r="HO11" t="e">
        <f>AND(#REF!,"AAAAAGXdqd4=")</f>
        <v>#REF!</v>
      </c>
      <c r="HP11" t="e">
        <f>AND(#REF!,"AAAAAGXdqd8=")</f>
        <v>#REF!</v>
      </c>
      <c r="HQ11" t="e">
        <f>AND(#REF!,"AAAAAGXdqeA=")</f>
        <v>#REF!</v>
      </c>
      <c r="HR11" t="e">
        <f>AND(#REF!,"AAAAAGXdqeE=")</f>
        <v>#REF!</v>
      </c>
      <c r="HS11" t="e">
        <f>AND(#REF!,"AAAAAGXdqeI=")</f>
        <v>#REF!</v>
      </c>
      <c r="HT11" t="e">
        <f>AND(#REF!,"AAAAAGXdqeM=")</f>
        <v>#REF!</v>
      </c>
      <c r="HU11" t="e">
        <f>AND(#REF!,"AAAAAGXdqeQ=")</f>
        <v>#REF!</v>
      </c>
      <c r="HV11" t="e">
        <f>AND(#REF!,"AAAAAGXdqeU=")</f>
        <v>#REF!</v>
      </c>
      <c r="HW11" t="e">
        <f>AND(#REF!,"AAAAAGXdqeY=")</f>
        <v>#REF!</v>
      </c>
      <c r="HX11" t="e">
        <f>AND(#REF!,"AAAAAGXdqec=")</f>
        <v>#REF!</v>
      </c>
      <c r="HY11" t="e">
        <f>AND(#REF!,"AAAAAGXdqeg=")</f>
        <v>#REF!</v>
      </c>
      <c r="HZ11" t="e">
        <f>AND(#REF!,"AAAAAGXdqek=")</f>
        <v>#REF!</v>
      </c>
      <c r="IA11" t="e">
        <f>AND(#REF!,"AAAAAGXdqeo=")</f>
        <v>#REF!</v>
      </c>
      <c r="IB11" t="e">
        <f>AND(#REF!,"AAAAAGXdqes=")</f>
        <v>#REF!</v>
      </c>
      <c r="IC11" t="e">
        <f>AND(#REF!,"AAAAAGXdqew=")</f>
        <v>#REF!</v>
      </c>
      <c r="ID11" t="e">
        <f>AND(#REF!,"AAAAAGXdqe0=")</f>
        <v>#REF!</v>
      </c>
      <c r="IE11" t="e">
        <f>AND(#REF!,"AAAAAGXdqe4=")</f>
        <v>#REF!</v>
      </c>
      <c r="IF11" t="e">
        <f>AND(#REF!,"AAAAAGXdqe8=")</f>
        <v>#REF!</v>
      </c>
      <c r="IG11" t="e">
        <f>IF(#REF!,"AAAAAGXdqfA=",0)</f>
        <v>#REF!</v>
      </c>
      <c r="IH11" t="e">
        <f>AND(#REF!,"AAAAAGXdqfE=")</f>
        <v>#REF!</v>
      </c>
      <c r="II11" t="e">
        <f>AND(#REF!,"AAAAAGXdqfI=")</f>
        <v>#REF!</v>
      </c>
      <c r="IJ11" t="e">
        <f>AND(#REF!,"AAAAAGXdqfM=")</f>
        <v>#REF!</v>
      </c>
      <c r="IK11" t="e">
        <f>AND(#REF!,"AAAAAGXdqfQ=")</f>
        <v>#REF!</v>
      </c>
      <c r="IL11" t="e">
        <f>AND(#REF!,"AAAAAGXdqfU=")</f>
        <v>#REF!</v>
      </c>
      <c r="IM11" t="e">
        <f>AND(#REF!,"AAAAAGXdqfY=")</f>
        <v>#REF!</v>
      </c>
      <c r="IN11" t="e">
        <f>AND(#REF!,"AAAAAGXdqfc=")</f>
        <v>#REF!</v>
      </c>
      <c r="IO11" t="e">
        <f>AND(#REF!,"AAAAAGXdqfg=")</f>
        <v>#REF!</v>
      </c>
      <c r="IP11" t="e">
        <f>AND(#REF!,"AAAAAGXdqfk=")</f>
        <v>#REF!</v>
      </c>
      <c r="IQ11" t="e">
        <f>AND(#REF!,"AAAAAGXdqfo=")</f>
        <v>#REF!</v>
      </c>
      <c r="IR11" t="e">
        <f>AND(#REF!,"AAAAAGXdqfs=")</f>
        <v>#REF!</v>
      </c>
      <c r="IS11" t="e">
        <f>AND(#REF!,"AAAAAGXdqfw=")</f>
        <v>#REF!</v>
      </c>
      <c r="IT11" t="e">
        <f>AND(#REF!,"AAAAAGXdqf0=")</f>
        <v>#REF!</v>
      </c>
      <c r="IU11" t="e">
        <f>AND(#REF!,"AAAAAGXdqf4=")</f>
        <v>#REF!</v>
      </c>
      <c r="IV11" t="e">
        <f>AND(#REF!,"AAAAAGXdqf8=")</f>
        <v>#REF!</v>
      </c>
    </row>
    <row r="12" spans="1:256" x14ac:dyDescent="0.15">
      <c r="A12" t="e">
        <f>AND(#REF!,"AAAAACe93QA=")</f>
        <v>#REF!</v>
      </c>
      <c r="B12" t="e">
        <f>AND(#REF!,"AAAAACe93QE=")</f>
        <v>#REF!</v>
      </c>
      <c r="C12" t="e">
        <f>AND(#REF!,"AAAAACe93QI=")</f>
        <v>#REF!</v>
      </c>
      <c r="D12" t="e">
        <f>AND(#REF!,"AAAAACe93QM=")</f>
        <v>#REF!</v>
      </c>
      <c r="E12" t="e">
        <f>IF(#REF!,"AAAAACe93QQ=",0)</f>
        <v>#REF!</v>
      </c>
      <c r="F12" t="e">
        <f>AND(#REF!,"AAAAACe93QU=")</f>
        <v>#REF!</v>
      </c>
      <c r="G12" t="e">
        <f>AND(#REF!,"AAAAACe93QY=")</f>
        <v>#REF!</v>
      </c>
      <c r="H12" t="e">
        <f>AND(#REF!,"AAAAACe93Qc=")</f>
        <v>#REF!</v>
      </c>
      <c r="I12" t="e">
        <f>AND(#REF!,"AAAAACe93Qg=")</f>
        <v>#REF!</v>
      </c>
      <c r="J12" t="e">
        <f>AND(#REF!,"AAAAACe93Qk=")</f>
        <v>#REF!</v>
      </c>
      <c r="K12" t="e">
        <f>AND(#REF!,"AAAAACe93Qo=")</f>
        <v>#REF!</v>
      </c>
      <c r="L12" t="e">
        <f>AND(#REF!,"AAAAACe93Qs=")</f>
        <v>#REF!</v>
      </c>
      <c r="M12" t="e">
        <f>AND(#REF!,"AAAAACe93Qw=")</f>
        <v>#REF!</v>
      </c>
      <c r="N12" t="e">
        <f>AND(#REF!,"AAAAACe93Q0=")</f>
        <v>#REF!</v>
      </c>
      <c r="O12" t="e">
        <f>AND(#REF!,"AAAAACe93Q4=")</f>
        <v>#REF!</v>
      </c>
      <c r="P12" t="e">
        <f>AND(#REF!,"AAAAACe93Q8=")</f>
        <v>#REF!</v>
      </c>
      <c r="Q12" t="e">
        <f>AND(#REF!,"AAAAACe93RA=")</f>
        <v>#REF!</v>
      </c>
      <c r="R12" t="e">
        <f>AND(#REF!,"AAAAACe93RE=")</f>
        <v>#REF!</v>
      </c>
      <c r="S12" t="e">
        <f>AND(#REF!,"AAAAACe93RI=")</f>
        <v>#REF!</v>
      </c>
      <c r="T12" t="e">
        <f>AND(#REF!,"AAAAACe93RM=")</f>
        <v>#REF!</v>
      </c>
      <c r="U12" t="e">
        <f>AND(#REF!,"AAAAACe93RQ=")</f>
        <v>#REF!</v>
      </c>
      <c r="V12" t="e">
        <f>AND(#REF!,"AAAAACe93RU=")</f>
        <v>#REF!</v>
      </c>
      <c r="W12" t="e">
        <f>AND(#REF!,"AAAAACe93RY=")</f>
        <v>#REF!</v>
      </c>
      <c r="X12" t="e">
        <f>AND(#REF!,"AAAAACe93Rc=")</f>
        <v>#REF!</v>
      </c>
      <c r="Y12" t="e">
        <f>IF(#REF!,"AAAAACe93Rg=",0)</f>
        <v>#REF!</v>
      </c>
      <c r="Z12" t="e">
        <f>AND(#REF!,"AAAAACe93Rk=")</f>
        <v>#REF!</v>
      </c>
      <c r="AA12" t="e">
        <f>AND(#REF!,"AAAAACe93Ro=")</f>
        <v>#REF!</v>
      </c>
      <c r="AB12" t="e">
        <f>AND(#REF!,"AAAAACe93Rs=")</f>
        <v>#REF!</v>
      </c>
      <c r="AC12" t="e">
        <f>AND(#REF!,"AAAAACe93Rw=")</f>
        <v>#REF!</v>
      </c>
      <c r="AD12" t="e">
        <f>AND(#REF!,"AAAAACe93R0=")</f>
        <v>#REF!</v>
      </c>
      <c r="AE12" t="e">
        <f>AND(#REF!,"AAAAACe93R4=")</f>
        <v>#REF!</v>
      </c>
      <c r="AF12" t="e">
        <f>AND(#REF!,"AAAAACe93R8=")</f>
        <v>#REF!</v>
      </c>
      <c r="AG12" t="e">
        <f>AND(#REF!,"AAAAACe93SA=")</f>
        <v>#REF!</v>
      </c>
      <c r="AH12" t="e">
        <f>AND(#REF!,"AAAAACe93SE=")</f>
        <v>#REF!</v>
      </c>
      <c r="AI12" t="e">
        <f>AND(#REF!,"AAAAACe93SI=")</f>
        <v>#REF!</v>
      </c>
      <c r="AJ12" t="e">
        <f>AND(#REF!,"AAAAACe93SM=")</f>
        <v>#REF!</v>
      </c>
      <c r="AK12" t="e">
        <f>AND(#REF!,"AAAAACe93SQ=")</f>
        <v>#REF!</v>
      </c>
      <c r="AL12" t="e">
        <f>AND(#REF!,"AAAAACe93SU=")</f>
        <v>#REF!</v>
      </c>
      <c r="AM12" t="e">
        <f>AND(#REF!,"AAAAACe93SY=")</f>
        <v>#REF!</v>
      </c>
      <c r="AN12" t="e">
        <f>AND(#REF!,"AAAAACe93Sc=")</f>
        <v>#REF!</v>
      </c>
      <c r="AO12" t="e">
        <f>AND(#REF!,"AAAAACe93Sg=")</f>
        <v>#REF!</v>
      </c>
      <c r="AP12" t="e">
        <f>AND(#REF!,"AAAAACe93Sk=")</f>
        <v>#REF!</v>
      </c>
      <c r="AQ12" t="e">
        <f>AND(#REF!,"AAAAACe93So=")</f>
        <v>#REF!</v>
      </c>
      <c r="AR12" t="e">
        <f>AND(#REF!,"AAAAACe93Ss=")</f>
        <v>#REF!</v>
      </c>
      <c r="AS12" t="e">
        <f>IF(#REF!,"AAAAACe93Sw=",0)</f>
        <v>#REF!</v>
      </c>
      <c r="AT12" t="e">
        <f>AND(#REF!,"AAAAACe93S0=")</f>
        <v>#REF!</v>
      </c>
      <c r="AU12" t="e">
        <f>AND(#REF!,"AAAAACe93S4=")</f>
        <v>#REF!</v>
      </c>
      <c r="AV12" t="e">
        <f>AND(#REF!,"AAAAACe93S8=")</f>
        <v>#REF!</v>
      </c>
      <c r="AW12" t="e">
        <f>AND(#REF!,"AAAAACe93TA=")</f>
        <v>#REF!</v>
      </c>
      <c r="AX12" t="e">
        <f>AND(#REF!,"AAAAACe93TE=")</f>
        <v>#REF!</v>
      </c>
      <c r="AY12" t="e">
        <f>AND(#REF!,"AAAAACe93TI=")</f>
        <v>#REF!</v>
      </c>
      <c r="AZ12" t="e">
        <f>AND(#REF!,"AAAAACe93TM=")</f>
        <v>#REF!</v>
      </c>
      <c r="BA12" t="e">
        <f>AND(#REF!,"AAAAACe93TQ=")</f>
        <v>#REF!</v>
      </c>
      <c r="BB12" t="e">
        <f>AND(#REF!,"AAAAACe93TU=")</f>
        <v>#REF!</v>
      </c>
      <c r="BC12" t="e">
        <f>AND(#REF!,"AAAAACe93TY=")</f>
        <v>#REF!</v>
      </c>
      <c r="BD12" t="e">
        <f>AND(#REF!,"AAAAACe93Tc=")</f>
        <v>#REF!</v>
      </c>
      <c r="BE12" t="e">
        <f>AND(#REF!,"AAAAACe93Tg=")</f>
        <v>#REF!</v>
      </c>
      <c r="BF12" t="e">
        <f>AND(#REF!,"AAAAACe93Tk=")</f>
        <v>#REF!</v>
      </c>
      <c r="BG12" t="e">
        <f>AND(#REF!,"AAAAACe93To=")</f>
        <v>#REF!</v>
      </c>
      <c r="BH12" t="e">
        <f>AND(#REF!,"AAAAACe93Ts=")</f>
        <v>#REF!</v>
      </c>
      <c r="BI12" t="e">
        <f>AND(#REF!,"AAAAACe93Tw=")</f>
        <v>#REF!</v>
      </c>
      <c r="BJ12" t="e">
        <f>AND(#REF!,"AAAAACe93T0=")</f>
        <v>#REF!</v>
      </c>
      <c r="BK12" t="e">
        <f>AND(#REF!,"AAAAACe93T4=")</f>
        <v>#REF!</v>
      </c>
      <c r="BL12" t="e">
        <f>AND(#REF!,"AAAAACe93T8=")</f>
        <v>#REF!</v>
      </c>
      <c r="BM12" t="e">
        <f>IF(#REF!,"AAAAACe93UA=",0)</f>
        <v>#REF!</v>
      </c>
      <c r="BN12" t="e">
        <f>AND(#REF!,"AAAAACe93UE=")</f>
        <v>#REF!</v>
      </c>
      <c r="BO12" t="e">
        <f>AND(#REF!,"AAAAACe93UI=")</f>
        <v>#REF!</v>
      </c>
      <c r="BP12" t="e">
        <f>AND(#REF!,"AAAAACe93UM=")</f>
        <v>#REF!</v>
      </c>
      <c r="BQ12" t="e">
        <f>AND(#REF!,"AAAAACe93UQ=")</f>
        <v>#REF!</v>
      </c>
      <c r="BR12" t="e">
        <f>AND(#REF!,"AAAAACe93UU=")</f>
        <v>#REF!</v>
      </c>
      <c r="BS12" t="e">
        <f>AND(#REF!,"AAAAACe93UY=")</f>
        <v>#REF!</v>
      </c>
      <c r="BT12" t="e">
        <f>AND(#REF!,"AAAAACe93Uc=")</f>
        <v>#REF!</v>
      </c>
      <c r="BU12" t="e">
        <f>AND(#REF!,"AAAAACe93Ug=")</f>
        <v>#REF!</v>
      </c>
      <c r="BV12" t="e">
        <f>AND(#REF!,"AAAAACe93Uk=")</f>
        <v>#REF!</v>
      </c>
      <c r="BW12" t="e">
        <f>AND(#REF!,"AAAAACe93Uo=")</f>
        <v>#REF!</v>
      </c>
      <c r="BX12" t="e">
        <f>AND(#REF!,"AAAAACe93Us=")</f>
        <v>#REF!</v>
      </c>
      <c r="BY12" t="e">
        <f>AND(#REF!,"AAAAACe93Uw=")</f>
        <v>#REF!</v>
      </c>
      <c r="BZ12" t="e">
        <f>AND(#REF!,"AAAAACe93U0=")</f>
        <v>#REF!</v>
      </c>
      <c r="CA12" t="e">
        <f>AND(#REF!,"AAAAACe93U4=")</f>
        <v>#REF!</v>
      </c>
      <c r="CB12" t="e">
        <f>AND(#REF!,"AAAAACe93U8=")</f>
        <v>#REF!</v>
      </c>
      <c r="CC12" t="e">
        <f>AND(#REF!,"AAAAACe93VA=")</f>
        <v>#REF!</v>
      </c>
      <c r="CD12" t="e">
        <f>AND(#REF!,"AAAAACe93VE=")</f>
        <v>#REF!</v>
      </c>
      <c r="CE12" t="e">
        <f>AND(#REF!,"AAAAACe93VI=")</f>
        <v>#REF!</v>
      </c>
      <c r="CF12" t="e">
        <f>AND(#REF!,"AAAAACe93VM=")</f>
        <v>#REF!</v>
      </c>
      <c r="CG12" t="e">
        <f>IF(#REF!,"AAAAACe93VQ=",0)</f>
        <v>#REF!</v>
      </c>
      <c r="CH12" t="e">
        <f>AND(#REF!,"AAAAACe93VU=")</f>
        <v>#REF!</v>
      </c>
      <c r="CI12" t="e">
        <f>AND(#REF!,"AAAAACe93VY=")</f>
        <v>#REF!</v>
      </c>
      <c r="CJ12" t="e">
        <f>AND(#REF!,"AAAAACe93Vc=")</f>
        <v>#REF!</v>
      </c>
      <c r="CK12" t="e">
        <f>AND(#REF!,"AAAAACe93Vg=")</f>
        <v>#REF!</v>
      </c>
      <c r="CL12" t="e">
        <f>AND(#REF!,"AAAAACe93Vk=")</f>
        <v>#REF!</v>
      </c>
      <c r="CM12" t="e">
        <f>AND(#REF!,"AAAAACe93Vo=")</f>
        <v>#REF!</v>
      </c>
      <c r="CN12" t="e">
        <f>AND(#REF!,"AAAAACe93Vs=")</f>
        <v>#REF!</v>
      </c>
      <c r="CO12" t="e">
        <f>AND(#REF!,"AAAAACe93Vw=")</f>
        <v>#REF!</v>
      </c>
      <c r="CP12" t="e">
        <f>AND(#REF!,"AAAAACe93V0=")</f>
        <v>#REF!</v>
      </c>
      <c r="CQ12" t="e">
        <f>AND(#REF!,"AAAAACe93V4=")</f>
        <v>#REF!</v>
      </c>
      <c r="CR12" t="e">
        <f>AND(#REF!,"AAAAACe93V8=")</f>
        <v>#REF!</v>
      </c>
      <c r="CS12" t="e">
        <f>AND(#REF!,"AAAAACe93WA=")</f>
        <v>#REF!</v>
      </c>
      <c r="CT12" t="e">
        <f>AND(#REF!,"AAAAACe93WE=")</f>
        <v>#REF!</v>
      </c>
      <c r="CU12" t="e">
        <f>AND(#REF!,"AAAAACe93WI=")</f>
        <v>#REF!</v>
      </c>
      <c r="CV12" t="e">
        <f>AND(#REF!,"AAAAACe93WM=")</f>
        <v>#REF!</v>
      </c>
      <c r="CW12" t="e">
        <f>AND(#REF!,"AAAAACe93WQ=")</f>
        <v>#REF!</v>
      </c>
      <c r="CX12" t="e">
        <f>AND(#REF!,"AAAAACe93WU=")</f>
        <v>#REF!</v>
      </c>
      <c r="CY12" t="e">
        <f>AND(#REF!,"AAAAACe93WY=")</f>
        <v>#REF!</v>
      </c>
      <c r="CZ12" t="e">
        <f>AND(#REF!,"AAAAACe93Wc=")</f>
        <v>#REF!</v>
      </c>
      <c r="DA12" t="e">
        <f>IF(#REF!,"AAAAACe93Wg=",0)</f>
        <v>#REF!</v>
      </c>
      <c r="DB12" t="e">
        <f>AND(#REF!,"AAAAACe93Wk=")</f>
        <v>#REF!</v>
      </c>
      <c r="DC12" t="e">
        <f>AND(#REF!,"AAAAACe93Wo=")</f>
        <v>#REF!</v>
      </c>
      <c r="DD12" t="e">
        <f>AND(#REF!,"AAAAACe93Ws=")</f>
        <v>#REF!</v>
      </c>
      <c r="DE12" t="e">
        <f>AND(#REF!,"AAAAACe93Ww=")</f>
        <v>#REF!</v>
      </c>
      <c r="DF12" t="e">
        <f>AND(#REF!,"AAAAACe93W0=")</f>
        <v>#REF!</v>
      </c>
      <c r="DG12" t="e">
        <f>AND(#REF!,"AAAAACe93W4=")</f>
        <v>#REF!</v>
      </c>
      <c r="DH12" t="e">
        <f>AND(#REF!,"AAAAACe93W8=")</f>
        <v>#REF!</v>
      </c>
      <c r="DI12" t="e">
        <f>AND(#REF!,"AAAAACe93XA=")</f>
        <v>#REF!</v>
      </c>
      <c r="DJ12" t="e">
        <f>AND(#REF!,"AAAAACe93XE=")</f>
        <v>#REF!</v>
      </c>
      <c r="DK12" t="e">
        <f>AND(#REF!,"AAAAACe93XI=")</f>
        <v>#REF!</v>
      </c>
      <c r="DL12" t="e">
        <f>AND(#REF!,"AAAAACe93XM=")</f>
        <v>#REF!</v>
      </c>
      <c r="DM12" t="e">
        <f>AND(#REF!,"AAAAACe93XQ=")</f>
        <v>#REF!</v>
      </c>
      <c r="DN12" t="e">
        <f>AND(#REF!,"AAAAACe93XU=")</f>
        <v>#REF!</v>
      </c>
      <c r="DO12" t="e">
        <f>AND(#REF!,"AAAAACe93XY=")</f>
        <v>#REF!</v>
      </c>
      <c r="DP12" t="e">
        <f>AND(#REF!,"AAAAACe93Xc=")</f>
        <v>#REF!</v>
      </c>
      <c r="DQ12" t="e">
        <f>AND(#REF!,"AAAAACe93Xg=")</f>
        <v>#REF!</v>
      </c>
      <c r="DR12" t="e">
        <f>AND(#REF!,"AAAAACe93Xk=")</f>
        <v>#REF!</v>
      </c>
      <c r="DS12" t="e">
        <f>AND(#REF!,"AAAAACe93Xo=")</f>
        <v>#REF!</v>
      </c>
      <c r="DT12" t="e">
        <f>AND(#REF!,"AAAAACe93Xs=")</f>
        <v>#REF!</v>
      </c>
      <c r="DU12" t="e">
        <f>IF(#REF!,"AAAAACe93Xw=",0)</f>
        <v>#REF!</v>
      </c>
      <c r="DV12" t="e">
        <f>AND(#REF!,"AAAAACe93X0=")</f>
        <v>#REF!</v>
      </c>
      <c r="DW12" t="e">
        <f>AND(#REF!,"AAAAACe93X4=")</f>
        <v>#REF!</v>
      </c>
      <c r="DX12" t="e">
        <f>AND(#REF!,"AAAAACe93X8=")</f>
        <v>#REF!</v>
      </c>
      <c r="DY12" t="e">
        <f>AND(#REF!,"AAAAACe93YA=")</f>
        <v>#REF!</v>
      </c>
      <c r="DZ12" t="e">
        <f>AND(#REF!,"AAAAACe93YE=")</f>
        <v>#REF!</v>
      </c>
      <c r="EA12" t="e">
        <f>AND(#REF!,"AAAAACe93YI=")</f>
        <v>#REF!</v>
      </c>
      <c r="EB12" t="e">
        <f>AND(#REF!,"AAAAACe93YM=")</f>
        <v>#REF!</v>
      </c>
      <c r="EC12" t="e">
        <f>AND(#REF!,"AAAAACe93YQ=")</f>
        <v>#REF!</v>
      </c>
      <c r="ED12" t="e">
        <f>AND(#REF!,"AAAAACe93YU=")</f>
        <v>#REF!</v>
      </c>
      <c r="EE12" t="e">
        <f>AND(#REF!,"AAAAACe93YY=")</f>
        <v>#REF!</v>
      </c>
      <c r="EF12" t="e">
        <f>AND(#REF!,"AAAAACe93Yc=")</f>
        <v>#REF!</v>
      </c>
      <c r="EG12" t="e">
        <f>AND(#REF!,"AAAAACe93Yg=")</f>
        <v>#REF!</v>
      </c>
      <c r="EH12" t="e">
        <f>AND(#REF!,"AAAAACe93Yk=")</f>
        <v>#REF!</v>
      </c>
      <c r="EI12" t="e">
        <f>AND(#REF!,"AAAAACe93Yo=")</f>
        <v>#REF!</v>
      </c>
      <c r="EJ12" t="e">
        <f>AND(#REF!,"AAAAACe93Ys=")</f>
        <v>#REF!</v>
      </c>
      <c r="EK12" t="e">
        <f>AND(#REF!,"AAAAACe93Yw=")</f>
        <v>#REF!</v>
      </c>
      <c r="EL12" t="e">
        <f>AND(#REF!,"AAAAACe93Y0=")</f>
        <v>#REF!</v>
      </c>
      <c r="EM12" t="e">
        <f>AND(#REF!,"AAAAACe93Y4=")</f>
        <v>#REF!</v>
      </c>
      <c r="EN12" t="e">
        <f>AND(#REF!,"AAAAACe93Y8=")</f>
        <v>#REF!</v>
      </c>
      <c r="EO12" t="e">
        <f>IF(#REF!,"AAAAACe93ZA=",0)</f>
        <v>#REF!</v>
      </c>
      <c r="EP12" t="e">
        <f>AND(#REF!,"AAAAACe93ZE=")</f>
        <v>#REF!</v>
      </c>
      <c r="EQ12" t="e">
        <f>AND(#REF!,"AAAAACe93ZI=")</f>
        <v>#REF!</v>
      </c>
      <c r="ER12" t="e">
        <f>AND(#REF!,"AAAAACe93ZM=")</f>
        <v>#REF!</v>
      </c>
      <c r="ES12" t="e">
        <f>AND(#REF!,"AAAAACe93ZQ=")</f>
        <v>#REF!</v>
      </c>
      <c r="ET12" t="e">
        <f>AND(#REF!,"AAAAACe93ZU=")</f>
        <v>#REF!</v>
      </c>
      <c r="EU12" t="e">
        <f>AND(#REF!,"AAAAACe93ZY=")</f>
        <v>#REF!</v>
      </c>
      <c r="EV12" t="e">
        <f>AND(#REF!,"AAAAACe93Zc=")</f>
        <v>#REF!</v>
      </c>
      <c r="EW12" t="e">
        <f>AND(#REF!,"AAAAACe93Zg=")</f>
        <v>#REF!</v>
      </c>
      <c r="EX12" t="e">
        <f>AND(#REF!,"AAAAACe93Zk=")</f>
        <v>#REF!</v>
      </c>
      <c r="EY12" t="e">
        <f>AND(#REF!,"AAAAACe93Zo=")</f>
        <v>#REF!</v>
      </c>
      <c r="EZ12" t="e">
        <f>AND(#REF!,"AAAAACe93Zs=")</f>
        <v>#REF!</v>
      </c>
      <c r="FA12" t="e">
        <f>AND(#REF!,"AAAAACe93Zw=")</f>
        <v>#REF!</v>
      </c>
      <c r="FB12" t="e">
        <f>AND(#REF!,"AAAAACe93Z0=")</f>
        <v>#REF!</v>
      </c>
      <c r="FC12" t="e">
        <f>AND(#REF!,"AAAAACe93Z4=")</f>
        <v>#REF!</v>
      </c>
      <c r="FD12" t="e">
        <f>AND(#REF!,"AAAAACe93Z8=")</f>
        <v>#REF!</v>
      </c>
      <c r="FE12" t="e">
        <f>AND(#REF!,"AAAAACe93aA=")</f>
        <v>#REF!</v>
      </c>
      <c r="FF12" t="e">
        <f>AND(#REF!,"AAAAACe93aE=")</f>
        <v>#REF!</v>
      </c>
      <c r="FG12" t="e">
        <f>AND(#REF!,"AAAAACe93aI=")</f>
        <v>#REF!</v>
      </c>
      <c r="FH12" t="e">
        <f>AND(#REF!,"AAAAACe93aM=")</f>
        <v>#REF!</v>
      </c>
      <c r="FI12" t="e">
        <f>IF(#REF!,"AAAAACe93aQ=",0)</f>
        <v>#REF!</v>
      </c>
      <c r="FJ12" t="e">
        <f>AND(#REF!,"AAAAACe93aU=")</f>
        <v>#REF!</v>
      </c>
      <c r="FK12" t="e">
        <f>AND(#REF!,"AAAAACe93aY=")</f>
        <v>#REF!</v>
      </c>
      <c r="FL12" t="e">
        <f>AND(#REF!,"AAAAACe93ac=")</f>
        <v>#REF!</v>
      </c>
      <c r="FM12" t="e">
        <f>AND(#REF!,"AAAAACe93ag=")</f>
        <v>#REF!</v>
      </c>
      <c r="FN12" t="e">
        <f>AND(#REF!,"AAAAACe93ak=")</f>
        <v>#REF!</v>
      </c>
      <c r="FO12" t="e">
        <f>AND(#REF!,"AAAAACe93ao=")</f>
        <v>#REF!</v>
      </c>
      <c r="FP12" t="e">
        <f>AND(#REF!,"AAAAACe93as=")</f>
        <v>#REF!</v>
      </c>
      <c r="FQ12" t="e">
        <f>AND(#REF!,"AAAAACe93aw=")</f>
        <v>#REF!</v>
      </c>
      <c r="FR12" t="e">
        <f>AND(#REF!,"AAAAACe93a0=")</f>
        <v>#REF!</v>
      </c>
      <c r="FS12" t="e">
        <f>AND(#REF!,"AAAAACe93a4=")</f>
        <v>#REF!</v>
      </c>
      <c r="FT12" t="e">
        <f>AND(#REF!,"AAAAACe93a8=")</f>
        <v>#REF!</v>
      </c>
      <c r="FU12" t="e">
        <f>AND(#REF!,"AAAAACe93bA=")</f>
        <v>#REF!</v>
      </c>
      <c r="FV12" t="e">
        <f>AND(#REF!,"AAAAACe93bE=")</f>
        <v>#REF!</v>
      </c>
      <c r="FW12" t="e">
        <f>AND(#REF!,"AAAAACe93bI=")</f>
        <v>#REF!</v>
      </c>
      <c r="FX12" t="e">
        <f>AND(#REF!,"AAAAACe93bM=")</f>
        <v>#REF!</v>
      </c>
      <c r="FY12" t="e">
        <f>AND(#REF!,"AAAAACe93bQ=")</f>
        <v>#REF!</v>
      </c>
      <c r="FZ12" t="e">
        <f>AND(#REF!,"AAAAACe93bU=")</f>
        <v>#REF!</v>
      </c>
      <c r="GA12" t="e">
        <f>AND(#REF!,"AAAAACe93bY=")</f>
        <v>#REF!</v>
      </c>
      <c r="GB12" t="e">
        <f>AND(#REF!,"AAAAACe93bc=")</f>
        <v>#REF!</v>
      </c>
      <c r="GC12" t="e">
        <f>IF(#REF!,"AAAAACe93bg=",0)</f>
        <v>#REF!</v>
      </c>
      <c r="GD12" t="e">
        <f>AND(#REF!,"AAAAACe93bk=")</f>
        <v>#REF!</v>
      </c>
      <c r="GE12" t="e">
        <f>AND(#REF!,"AAAAACe93bo=")</f>
        <v>#REF!</v>
      </c>
      <c r="GF12" t="e">
        <f>AND(#REF!,"AAAAACe93bs=")</f>
        <v>#REF!</v>
      </c>
      <c r="GG12" t="e">
        <f>AND(#REF!,"AAAAACe93bw=")</f>
        <v>#REF!</v>
      </c>
      <c r="GH12" t="e">
        <f>AND(#REF!,"AAAAACe93b0=")</f>
        <v>#REF!</v>
      </c>
      <c r="GI12" t="e">
        <f>AND(#REF!,"AAAAACe93b4=")</f>
        <v>#REF!</v>
      </c>
      <c r="GJ12" t="e">
        <f>AND(#REF!,"AAAAACe93b8=")</f>
        <v>#REF!</v>
      </c>
      <c r="GK12" t="e">
        <f>AND(#REF!,"AAAAACe93cA=")</f>
        <v>#REF!</v>
      </c>
      <c r="GL12" t="e">
        <f>AND(#REF!,"AAAAACe93cE=")</f>
        <v>#REF!</v>
      </c>
      <c r="GM12" t="e">
        <f>AND(#REF!,"AAAAACe93cI=")</f>
        <v>#REF!</v>
      </c>
      <c r="GN12" t="e">
        <f>AND(#REF!,"AAAAACe93cM=")</f>
        <v>#REF!</v>
      </c>
      <c r="GO12" t="e">
        <f>AND(#REF!,"AAAAACe93cQ=")</f>
        <v>#REF!</v>
      </c>
      <c r="GP12" t="e">
        <f>AND(#REF!,"AAAAACe93cU=")</f>
        <v>#REF!</v>
      </c>
      <c r="GQ12" t="e">
        <f>AND(#REF!,"AAAAACe93cY=")</f>
        <v>#REF!</v>
      </c>
      <c r="GR12" t="e">
        <f>AND(#REF!,"AAAAACe93cc=")</f>
        <v>#REF!</v>
      </c>
      <c r="GS12" t="e">
        <f>AND(#REF!,"AAAAACe93cg=")</f>
        <v>#REF!</v>
      </c>
      <c r="GT12" t="e">
        <f>AND(#REF!,"AAAAACe93ck=")</f>
        <v>#REF!</v>
      </c>
      <c r="GU12" t="e">
        <f>AND(#REF!,"AAAAACe93co=")</f>
        <v>#REF!</v>
      </c>
      <c r="GV12" t="e">
        <f>AND(#REF!,"AAAAACe93cs=")</f>
        <v>#REF!</v>
      </c>
      <c r="GW12" t="e">
        <f>IF(#REF!,"AAAAACe93cw=",0)</f>
        <v>#REF!</v>
      </c>
      <c r="GX12" t="e">
        <f>AND(#REF!,"AAAAACe93c0=")</f>
        <v>#REF!</v>
      </c>
      <c r="GY12" t="e">
        <f>AND(#REF!,"AAAAACe93c4=")</f>
        <v>#REF!</v>
      </c>
      <c r="GZ12" t="e">
        <f>AND(#REF!,"AAAAACe93c8=")</f>
        <v>#REF!</v>
      </c>
      <c r="HA12" t="e">
        <f>AND(#REF!,"AAAAACe93dA=")</f>
        <v>#REF!</v>
      </c>
      <c r="HB12" t="e">
        <f>AND(#REF!,"AAAAACe93dE=")</f>
        <v>#REF!</v>
      </c>
      <c r="HC12" t="e">
        <f>AND(#REF!,"AAAAACe93dI=")</f>
        <v>#REF!</v>
      </c>
      <c r="HD12" t="e">
        <f>AND(#REF!,"AAAAACe93dM=")</f>
        <v>#REF!</v>
      </c>
      <c r="HE12" t="e">
        <f>AND(#REF!,"AAAAACe93dQ=")</f>
        <v>#REF!</v>
      </c>
      <c r="HF12" t="e">
        <f>AND(#REF!,"AAAAACe93dU=")</f>
        <v>#REF!</v>
      </c>
      <c r="HG12" t="e">
        <f>AND(#REF!,"AAAAACe93dY=")</f>
        <v>#REF!</v>
      </c>
      <c r="HH12" t="e">
        <f>AND(#REF!,"AAAAACe93dc=")</f>
        <v>#REF!</v>
      </c>
      <c r="HI12" t="e">
        <f>AND(#REF!,"AAAAACe93dg=")</f>
        <v>#REF!</v>
      </c>
      <c r="HJ12" t="e">
        <f>AND(#REF!,"AAAAACe93dk=")</f>
        <v>#REF!</v>
      </c>
      <c r="HK12" t="e">
        <f>AND(#REF!,"AAAAACe93do=")</f>
        <v>#REF!</v>
      </c>
      <c r="HL12" t="e">
        <f>AND(#REF!,"AAAAACe93ds=")</f>
        <v>#REF!</v>
      </c>
      <c r="HM12" t="e">
        <f>AND(#REF!,"AAAAACe93dw=")</f>
        <v>#REF!</v>
      </c>
      <c r="HN12" t="e">
        <f>AND(#REF!,"AAAAACe93d0=")</f>
        <v>#REF!</v>
      </c>
      <c r="HO12" t="e">
        <f>AND(#REF!,"AAAAACe93d4=")</f>
        <v>#REF!</v>
      </c>
      <c r="HP12" t="e">
        <f>AND(#REF!,"AAAAACe93d8=")</f>
        <v>#REF!</v>
      </c>
      <c r="HQ12" t="e">
        <f>IF(#REF!,"AAAAACe93eA=",0)</f>
        <v>#REF!</v>
      </c>
      <c r="HR12" t="e">
        <f>AND(#REF!,"AAAAACe93eE=")</f>
        <v>#REF!</v>
      </c>
      <c r="HS12" t="e">
        <f>AND(#REF!,"AAAAACe93eI=")</f>
        <v>#REF!</v>
      </c>
      <c r="HT12" t="e">
        <f>AND(#REF!,"AAAAACe93eM=")</f>
        <v>#REF!</v>
      </c>
      <c r="HU12" t="e">
        <f>AND(#REF!,"AAAAACe93eQ=")</f>
        <v>#REF!</v>
      </c>
      <c r="HV12" t="e">
        <f>AND(#REF!,"AAAAACe93eU=")</f>
        <v>#REF!</v>
      </c>
      <c r="HW12" t="e">
        <f>AND(#REF!,"AAAAACe93eY=")</f>
        <v>#REF!</v>
      </c>
      <c r="HX12" t="e">
        <f>AND(#REF!,"AAAAACe93ec=")</f>
        <v>#REF!</v>
      </c>
      <c r="HY12" t="e">
        <f>AND(#REF!,"AAAAACe93eg=")</f>
        <v>#REF!</v>
      </c>
      <c r="HZ12" t="e">
        <f>AND(#REF!,"AAAAACe93ek=")</f>
        <v>#REF!</v>
      </c>
      <c r="IA12" t="e">
        <f>AND(#REF!,"AAAAACe93eo=")</f>
        <v>#REF!</v>
      </c>
      <c r="IB12" t="e">
        <f>AND(#REF!,"AAAAACe93es=")</f>
        <v>#REF!</v>
      </c>
      <c r="IC12" t="e">
        <f>AND(#REF!,"AAAAACe93ew=")</f>
        <v>#REF!</v>
      </c>
      <c r="ID12" t="e">
        <f>AND(#REF!,"AAAAACe93e0=")</f>
        <v>#REF!</v>
      </c>
      <c r="IE12" t="e">
        <f>AND(#REF!,"AAAAACe93e4=")</f>
        <v>#REF!</v>
      </c>
      <c r="IF12" t="e">
        <f>AND(#REF!,"AAAAACe93e8=")</f>
        <v>#REF!</v>
      </c>
      <c r="IG12" t="e">
        <f>AND(#REF!,"AAAAACe93fA=")</f>
        <v>#REF!</v>
      </c>
      <c r="IH12" t="e">
        <f>AND(#REF!,"AAAAACe93fE=")</f>
        <v>#REF!</v>
      </c>
      <c r="II12" t="e">
        <f>AND(#REF!,"AAAAACe93fI=")</f>
        <v>#REF!</v>
      </c>
      <c r="IJ12" t="e">
        <f>AND(#REF!,"AAAAACe93fM=")</f>
        <v>#REF!</v>
      </c>
      <c r="IK12" t="e">
        <f>IF(#REF!,"AAAAACe93fQ=",0)</f>
        <v>#REF!</v>
      </c>
      <c r="IL12" t="e">
        <f>AND(#REF!,"AAAAACe93fU=")</f>
        <v>#REF!</v>
      </c>
      <c r="IM12" t="e">
        <f>AND(#REF!,"AAAAACe93fY=")</f>
        <v>#REF!</v>
      </c>
      <c r="IN12" t="e">
        <f>AND(#REF!,"AAAAACe93fc=")</f>
        <v>#REF!</v>
      </c>
      <c r="IO12" t="e">
        <f>AND(#REF!,"AAAAACe93fg=")</f>
        <v>#REF!</v>
      </c>
      <c r="IP12" t="e">
        <f>AND(#REF!,"AAAAACe93fk=")</f>
        <v>#REF!</v>
      </c>
      <c r="IQ12" t="e">
        <f>AND(#REF!,"AAAAACe93fo=")</f>
        <v>#REF!</v>
      </c>
      <c r="IR12" t="e">
        <f>AND(#REF!,"AAAAACe93fs=")</f>
        <v>#REF!</v>
      </c>
      <c r="IS12" t="e">
        <f>AND(#REF!,"AAAAACe93fw=")</f>
        <v>#REF!</v>
      </c>
      <c r="IT12" t="e">
        <f>AND(#REF!,"AAAAACe93f0=")</f>
        <v>#REF!</v>
      </c>
      <c r="IU12" t="e">
        <f>AND(#REF!,"AAAAACe93f4=")</f>
        <v>#REF!</v>
      </c>
      <c r="IV12" t="e">
        <f>AND(#REF!,"AAAAACe93f8=")</f>
        <v>#REF!</v>
      </c>
    </row>
    <row r="13" spans="1:256" x14ac:dyDescent="0.15">
      <c r="A13" t="e">
        <f>AND(#REF!,"AAAAAFdW7QA=")</f>
        <v>#REF!</v>
      </c>
      <c r="B13" t="e">
        <f>AND(#REF!,"AAAAAFdW7QE=")</f>
        <v>#REF!</v>
      </c>
      <c r="C13" t="e">
        <f>AND(#REF!,"AAAAAFdW7QI=")</f>
        <v>#REF!</v>
      </c>
      <c r="D13" t="e">
        <f>AND(#REF!,"AAAAAFdW7QM=")</f>
        <v>#REF!</v>
      </c>
      <c r="E13" t="e">
        <f>AND(#REF!,"AAAAAFdW7QQ=")</f>
        <v>#REF!</v>
      </c>
      <c r="F13" t="e">
        <f>AND(#REF!,"AAAAAFdW7QU=")</f>
        <v>#REF!</v>
      </c>
      <c r="G13" t="e">
        <f>AND(#REF!,"AAAAAFdW7QY=")</f>
        <v>#REF!</v>
      </c>
      <c r="H13" t="e">
        <f>AND(#REF!,"AAAAAFdW7Qc=")</f>
        <v>#REF!</v>
      </c>
      <c r="I13" t="e">
        <f>IF(#REF!,"AAAAAFdW7Qg=",0)</f>
        <v>#REF!</v>
      </c>
      <c r="J13" t="e">
        <f>AND(#REF!,"AAAAAFdW7Qk=")</f>
        <v>#REF!</v>
      </c>
      <c r="K13" t="e">
        <f>AND(#REF!,"AAAAAFdW7Qo=")</f>
        <v>#REF!</v>
      </c>
      <c r="L13" t="e">
        <f>AND(#REF!,"AAAAAFdW7Qs=")</f>
        <v>#REF!</v>
      </c>
      <c r="M13" t="e">
        <f>AND(#REF!,"AAAAAFdW7Qw=")</f>
        <v>#REF!</v>
      </c>
      <c r="N13" t="e">
        <f>AND(#REF!,"AAAAAFdW7Q0=")</f>
        <v>#REF!</v>
      </c>
      <c r="O13" t="e">
        <f>AND(#REF!,"AAAAAFdW7Q4=")</f>
        <v>#REF!</v>
      </c>
      <c r="P13" t="e">
        <f>AND(#REF!,"AAAAAFdW7Q8=")</f>
        <v>#REF!</v>
      </c>
      <c r="Q13" t="e">
        <f>AND(#REF!,"AAAAAFdW7RA=")</f>
        <v>#REF!</v>
      </c>
      <c r="R13" t="e">
        <f>AND(#REF!,"AAAAAFdW7RE=")</f>
        <v>#REF!</v>
      </c>
      <c r="S13" t="e">
        <f>AND(#REF!,"AAAAAFdW7RI=")</f>
        <v>#REF!</v>
      </c>
      <c r="T13" t="e">
        <f>AND(#REF!,"AAAAAFdW7RM=")</f>
        <v>#REF!</v>
      </c>
      <c r="U13" t="e">
        <f>AND(#REF!,"AAAAAFdW7RQ=")</f>
        <v>#REF!</v>
      </c>
      <c r="V13" t="e">
        <f>AND(#REF!,"AAAAAFdW7RU=")</f>
        <v>#REF!</v>
      </c>
      <c r="W13" t="e">
        <f>AND(#REF!,"AAAAAFdW7RY=")</f>
        <v>#REF!</v>
      </c>
      <c r="X13" t="e">
        <f>AND(#REF!,"AAAAAFdW7Rc=")</f>
        <v>#REF!</v>
      </c>
      <c r="Y13" t="e">
        <f>AND(#REF!,"AAAAAFdW7Rg=")</f>
        <v>#REF!</v>
      </c>
      <c r="Z13" t="e">
        <f>AND(#REF!,"AAAAAFdW7Rk=")</f>
        <v>#REF!</v>
      </c>
      <c r="AA13" t="e">
        <f>AND(#REF!,"AAAAAFdW7Ro=")</f>
        <v>#REF!</v>
      </c>
      <c r="AB13" t="e">
        <f>AND(#REF!,"AAAAAFdW7Rs=")</f>
        <v>#REF!</v>
      </c>
      <c r="AC13" t="e">
        <f>IF(#REF!,"AAAAAFdW7Rw=",0)</f>
        <v>#REF!</v>
      </c>
      <c r="AD13" t="e">
        <f>AND(#REF!,"AAAAAFdW7R0=")</f>
        <v>#REF!</v>
      </c>
      <c r="AE13" t="e">
        <f>AND(#REF!,"AAAAAFdW7R4=")</f>
        <v>#REF!</v>
      </c>
      <c r="AF13" t="e">
        <f>AND(#REF!,"AAAAAFdW7R8=")</f>
        <v>#REF!</v>
      </c>
      <c r="AG13" t="e">
        <f>AND(#REF!,"AAAAAFdW7SA=")</f>
        <v>#REF!</v>
      </c>
      <c r="AH13" t="e">
        <f>AND(#REF!,"AAAAAFdW7SE=")</f>
        <v>#REF!</v>
      </c>
      <c r="AI13" t="e">
        <f>AND(#REF!,"AAAAAFdW7SI=")</f>
        <v>#REF!</v>
      </c>
      <c r="AJ13" t="e">
        <f>AND(#REF!,"AAAAAFdW7SM=")</f>
        <v>#REF!</v>
      </c>
      <c r="AK13" t="e">
        <f>AND(#REF!,"AAAAAFdW7SQ=")</f>
        <v>#REF!</v>
      </c>
      <c r="AL13" t="e">
        <f>AND(#REF!,"AAAAAFdW7SU=")</f>
        <v>#REF!</v>
      </c>
      <c r="AM13" t="e">
        <f>AND(#REF!,"AAAAAFdW7SY=")</f>
        <v>#REF!</v>
      </c>
      <c r="AN13" t="e">
        <f>AND(#REF!,"AAAAAFdW7Sc=")</f>
        <v>#REF!</v>
      </c>
      <c r="AO13" t="e">
        <f>AND(#REF!,"AAAAAFdW7Sg=")</f>
        <v>#REF!</v>
      </c>
      <c r="AP13" t="e">
        <f>AND(#REF!,"AAAAAFdW7Sk=")</f>
        <v>#REF!</v>
      </c>
      <c r="AQ13" t="e">
        <f>AND(#REF!,"AAAAAFdW7So=")</f>
        <v>#REF!</v>
      </c>
      <c r="AR13" t="e">
        <f>AND(#REF!,"AAAAAFdW7Ss=")</f>
        <v>#REF!</v>
      </c>
      <c r="AS13" t="e">
        <f>AND(#REF!,"AAAAAFdW7Sw=")</f>
        <v>#REF!</v>
      </c>
      <c r="AT13" t="e">
        <f>AND(#REF!,"AAAAAFdW7S0=")</f>
        <v>#REF!</v>
      </c>
      <c r="AU13" t="e">
        <f>AND(#REF!,"AAAAAFdW7S4=")</f>
        <v>#REF!</v>
      </c>
      <c r="AV13" t="e">
        <f>AND(#REF!,"AAAAAFdW7S8=")</f>
        <v>#REF!</v>
      </c>
      <c r="AW13" t="e">
        <f>IF(#REF!,"AAAAAFdW7TA=",0)</f>
        <v>#REF!</v>
      </c>
      <c r="AX13" t="e">
        <f>AND(#REF!,"AAAAAFdW7TE=")</f>
        <v>#REF!</v>
      </c>
      <c r="AY13" t="e">
        <f>AND(#REF!,"AAAAAFdW7TI=")</f>
        <v>#REF!</v>
      </c>
      <c r="AZ13" t="e">
        <f>AND(#REF!,"AAAAAFdW7TM=")</f>
        <v>#REF!</v>
      </c>
      <c r="BA13" t="e">
        <f>AND(#REF!,"AAAAAFdW7TQ=")</f>
        <v>#REF!</v>
      </c>
      <c r="BB13" t="e">
        <f>AND(#REF!,"AAAAAFdW7TU=")</f>
        <v>#REF!</v>
      </c>
      <c r="BC13" t="e">
        <f>AND(#REF!,"AAAAAFdW7TY=")</f>
        <v>#REF!</v>
      </c>
      <c r="BD13" t="e">
        <f>AND(#REF!,"AAAAAFdW7Tc=")</f>
        <v>#REF!</v>
      </c>
      <c r="BE13" t="e">
        <f>AND(#REF!,"AAAAAFdW7Tg=")</f>
        <v>#REF!</v>
      </c>
      <c r="BF13" t="e">
        <f>AND(#REF!,"AAAAAFdW7Tk=")</f>
        <v>#REF!</v>
      </c>
      <c r="BG13" t="e">
        <f>AND(#REF!,"AAAAAFdW7To=")</f>
        <v>#REF!</v>
      </c>
      <c r="BH13" t="e">
        <f>AND(#REF!,"AAAAAFdW7Ts=")</f>
        <v>#REF!</v>
      </c>
      <c r="BI13" t="e">
        <f>AND(#REF!,"AAAAAFdW7Tw=")</f>
        <v>#REF!</v>
      </c>
      <c r="BJ13" t="e">
        <f>AND(#REF!,"AAAAAFdW7T0=")</f>
        <v>#REF!</v>
      </c>
      <c r="BK13" t="e">
        <f>AND(#REF!,"AAAAAFdW7T4=")</f>
        <v>#REF!</v>
      </c>
      <c r="BL13" t="e">
        <f>AND(#REF!,"AAAAAFdW7T8=")</f>
        <v>#REF!</v>
      </c>
      <c r="BM13" t="e">
        <f>AND(#REF!,"AAAAAFdW7UA=")</f>
        <v>#REF!</v>
      </c>
      <c r="BN13" t="e">
        <f>AND(#REF!,"AAAAAFdW7UE=")</f>
        <v>#REF!</v>
      </c>
      <c r="BO13" t="e">
        <f>AND(#REF!,"AAAAAFdW7UI=")</f>
        <v>#REF!</v>
      </c>
      <c r="BP13" t="e">
        <f>AND(#REF!,"AAAAAFdW7UM=")</f>
        <v>#REF!</v>
      </c>
      <c r="BQ13" t="e">
        <f>IF(#REF!,"AAAAAFdW7UQ=",0)</f>
        <v>#REF!</v>
      </c>
      <c r="BR13" t="e">
        <f>AND(#REF!,"AAAAAFdW7UU=")</f>
        <v>#REF!</v>
      </c>
      <c r="BS13" t="e">
        <f>AND(#REF!,"AAAAAFdW7UY=")</f>
        <v>#REF!</v>
      </c>
      <c r="BT13" t="e">
        <f>AND(#REF!,"AAAAAFdW7Uc=")</f>
        <v>#REF!</v>
      </c>
      <c r="BU13" t="e">
        <f>AND(#REF!,"AAAAAFdW7Ug=")</f>
        <v>#REF!</v>
      </c>
      <c r="BV13" t="e">
        <f>AND(#REF!,"AAAAAFdW7Uk=")</f>
        <v>#REF!</v>
      </c>
      <c r="BW13" t="e">
        <f>AND(#REF!,"AAAAAFdW7Uo=")</f>
        <v>#REF!</v>
      </c>
      <c r="BX13" t="e">
        <f>AND(#REF!,"AAAAAFdW7Us=")</f>
        <v>#REF!</v>
      </c>
      <c r="BY13" t="e">
        <f>AND(#REF!,"AAAAAFdW7Uw=")</f>
        <v>#REF!</v>
      </c>
      <c r="BZ13" t="e">
        <f>AND(#REF!,"AAAAAFdW7U0=")</f>
        <v>#REF!</v>
      </c>
      <c r="CA13" t="e">
        <f>AND(#REF!,"AAAAAFdW7U4=")</f>
        <v>#REF!</v>
      </c>
      <c r="CB13" t="e">
        <f>AND(#REF!,"AAAAAFdW7U8=")</f>
        <v>#REF!</v>
      </c>
      <c r="CC13" t="e">
        <f>AND(#REF!,"AAAAAFdW7VA=")</f>
        <v>#REF!</v>
      </c>
      <c r="CD13" t="e">
        <f>AND(#REF!,"AAAAAFdW7VE=")</f>
        <v>#REF!</v>
      </c>
      <c r="CE13" t="e">
        <f>AND(#REF!,"AAAAAFdW7VI=")</f>
        <v>#REF!</v>
      </c>
      <c r="CF13" t="e">
        <f>AND(#REF!,"AAAAAFdW7VM=")</f>
        <v>#REF!</v>
      </c>
      <c r="CG13" t="e">
        <f>AND(#REF!,"AAAAAFdW7VQ=")</f>
        <v>#REF!</v>
      </c>
      <c r="CH13" t="e">
        <f>AND(#REF!,"AAAAAFdW7VU=")</f>
        <v>#REF!</v>
      </c>
      <c r="CI13" t="e">
        <f>AND(#REF!,"AAAAAFdW7VY=")</f>
        <v>#REF!</v>
      </c>
      <c r="CJ13" t="e">
        <f>AND(#REF!,"AAAAAFdW7Vc=")</f>
        <v>#REF!</v>
      </c>
      <c r="CK13" t="e">
        <f>IF(#REF!,"AAAAAFdW7Vg=",0)</f>
        <v>#REF!</v>
      </c>
      <c r="CL13" t="e">
        <f>AND(#REF!,"AAAAAFdW7Vk=")</f>
        <v>#REF!</v>
      </c>
      <c r="CM13" t="e">
        <f>AND(#REF!,"AAAAAFdW7Vo=")</f>
        <v>#REF!</v>
      </c>
      <c r="CN13" t="e">
        <f>AND(#REF!,"AAAAAFdW7Vs=")</f>
        <v>#REF!</v>
      </c>
      <c r="CO13" t="e">
        <f>AND(#REF!,"AAAAAFdW7Vw=")</f>
        <v>#REF!</v>
      </c>
      <c r="CP13" t="e">
        <f>AND(#REF!,"AAAAAFdW7V0=")</f>
        <v>#REF!</v>
      </c>
      <c r="CQ13" t="e">
        <f>AND(#REF!,"AAAAAFdW7V4=")</f>
        <v>#REF!</v>
      </c>
      <c r="CR13" t="e">
        <f>AND(#REF!,"AAAAAFdW7V8=")</f>
        <v>#REF!</v>
      </c>
      <c r="CS13" t="e">
        <f>AND(#REF!,"AAAAAFdW7WA=")</f>
        <v>#REF!</v>
      </c>
      <c r="CT13" t="e">
        <f>AND(#REF!,"AAAAAFdW7WE=")</f>
        <v>#REF!</v>
      </c>
      <c r="CU13" t="e">
        <f>AND(#REF!,"AAAAAFdW7WI=")</f>
        <v>#REF!</v>
      </c>
      <c r="CV13" t="e">
        <f>AND(#REF!,"AAAAAFdW7WM=")</f>
        <v>#REF!</v>
      </c>
      <c r="CW13" t="e">
        <f>AND(#REF!,"AAAAAFdW7WQ=")</f>
        <v>#REF!</v>
      </c>
      <c r="CX13" t="e">
        <f>AND(#REF!,"AAAAAFdW7WU=")</f>
        <v>#REF!</v>
      </c>
      <c r="CY13" t="e">
        <f>AND(#REF!,"AAAAAFdW7WY=")</f>
        <v>#REF!</v>
      </c>
      <c r="CZ13" t="e">
        <f>AND(#REF!,"AAAAAFdW7Wc=")</f>
        <v>#REF!</v>
      </c>
      <c r="DA13" t="e">
        <f>AND(#REF!,"AAAAAFdW7Wg=")</f>
        <v>#REF!</v>
      </c>
      <c r="DB13" t="e">
        <f>AND(#REF!,"AAAAAFdW7Wk=")</f>
        <v>#REF!</v>
      </c>
      <c r="DC13" t="e">
        <f>AND(#REF!,"AAAAAFdW7Wo=")</f>
        <v>#REF!</v>
      </c>
      <c r="DD13" t="e">
        <f>AND(#REF!,"AAAAAFdW7Ws=")</f>
        <v>#REF!</v>
      </c>
      <c r="DE13" t="e">
        <f>IF(#REF!,"AAAAAFdW7Ww=",0)</f>
        <v>#REF!</v>
      </c>
      <c r="DF13" t="e">
        <f>AND(#REF!,"AAAAAFdW7W0=")</f>
        <v>#REF!</v>
      </c>
      <c r="DG13" t="e">
        <f>AND(#REF!,"AAAAAFdW7W4=")</f>
        <v>#REF!</v>
      </c>
      <c r="DH13" t="e">
        <f>AND(#REF!,"AAAAAFdW7W8=")</f>
        <v>#REF!</v>
      </c>
      <c r="DI13" t="e">
        <f>AND(#REF!,"AAAAAFdW7XA=")</f>
        <v>#REF!</v>
      </c>
      <c r="DJ13" t="e">
        <f>AND(#REF!,"AAAAAFdW7XE=")</f>
        <v>#REF!</v>
      </c>
      <c r="DK13" t="e">
        <f>AND(#REF!,"AAAAAFdW7XI=")</f>
        <v>#REF!</v>
      </c>
      <c r="DL13" t="e">
        <f>AND(#REF!,"AAAAAFdW7XM=")</f>
        <v>#REF!</v>
      </c>
      <c r="DM13" t="e">
        <f>AND(#REF!,"AAAAAFdW7XQ=")</f>
        <v>#REF!</v>
      </c>
      <c r="DN13" t="e">
        <f>AND(#REF!,"AAAAAFdW7XU=")</f>
        <v>#REF!</v>
      </c>
      <c r="DO13" t="e">
        <f>AND(#REF!,"AAAAAFdW7XY=")</f>
        <v>#REF!</v>
      </c>
      <c r="DP13" t="e">
        <f>AND(#REF!,"AAAAAFdW7Xc=")</f>
        <v>#REF!</v>
      </c>
      <c r="DQ13" t="e">
        <f>AND(#REF!,"AAAAAFdW7Xg=")</f>
        <v>#REF!</v>
      </c>
      <c r="DR13" t="e">
        <f>AND(#REF!,"AAAAAFdW7Xk=")</f>
        <v>#REF!</v>
      </c>
      <c r="DS13" t="e">
        <f>AND(#REF!,"AAAAAFdW7Xo=")</f>
        <v>#REF!</v>
      </c>
      <c r="DT13" t="e">
        <f>AND(#REF!,"AAAAAFdW7Xs=")</f>
        <v>#REF!</v>
      </c>
      <c r="DU13" t="e">
        <f>AND(#REF!,"AAAAAFdW7Xw=")</f>
        <v>#REF!</v>
      </c>
      <c r="DV13" t="e">
        <f>AND(#REF!,"AAAAAFdW7X0=")</f>
        <v>#REF!</v>
      </c>
      <c r="DW13" t="e">
        <f>AND(#REF!,"AAAAAFdW7X4=")</f>
        <v>#REF!</v>
      </c>
      <c r="DX13" t="e">
        <f>AND(#REF!,"AAAAAFdW7X8=")</f>
        <v>#REF!</v>
      </c>
      <c r="DY13" t="e">
        <f>IF(#REF!,"AAAAAFdW7YA=",0)</f>
        <v>#REF!</v>
      </c>
      <c r="DZ13" t="e">
        <f>AND(#REF!,"AAAAAFdW7YE=")</f>
        <v>#REF!</v>
      </c>
      <c r="EA13" t="e">
        <f>AND(#REF!,"AAAAAFdW7YI=")</f>
        <v>#REF!</v>
      </c>
      <c r="EB13" t="e">
        <f>AND(#REF!,"AAAAAFdW7YM=")</f>
        <v>#REF!</v>
      </c>
      <c r="EC13" t="e">
        <f>AND(#REF!,"AAAAAFdW7YQ=")</f>
        <v>#REF!</v>
      </c>
      <c r="ED13" t="e">
        <f>AND(#REF!,"AAAAAFdW7YU=")</f>
        <v>#REF!</v>
      </c>
      <c r="EE13" t="e">
        <f>AND(#REF!,"AAAAAFdW7YY=")</f>
        <v>#REF!</v>
      </c>
      <c r="EF13" t="e">
        <f>AND(#REF!,"AAAAAFdW7Yc=")</f>
        <v>#REF!</v>
      </c>
      <c r="EG13" t="e">
        <f>AND(#REF!,"AAAAAFdW7Yg=")</f>
        <v>#REF!</v>
      </c>
      <c r="EH13" t="e">
        <f>AND(#REF!,"AAAAAFdW7Yk=")</f>
        <v>#REF!</v>
      </c>
      <c r="EI13" t="e">
        <f>AND(#REF!,"AAAAAFdW7Yo=")</f>
        <v>#REF!</v>
      </c>
      <c r="EJ13" t="e">
        <f>AND(#REF!,"AAAAAFdW7Ys=")</f>
        <v>#REF!</v>
      </c>
      <c r="EK13" t="e">
        <f>AND(#REF!,"AAAAAFdW7Yw=")</f>
        <v>#REF!</v>
      </c>
      <c r="EL13" t="e">
        <f>AND(#REF!,"AAAAAFdW7Y0=")</f>
        <v>#REF!</v>
      </c>
      <c r="EM13" t="e">
        <f>AND(#REF!,"AAAAAFdW7Y4=")</f>
        <v>#REF!</v>
      </c>
      <c r="EN13" t="e">
        <f>AND(#REF!,"AAAAAFdW7Y8=")</f>
        <v>#REF!</v>
      </c>
      <c r="EO13" t="e">
        <f>AND(#REF!,"AAAAAFdW7ZA=")</f>
        <v>#REF!</v>
      </c>
      <c r="EP13" t="e">
        <f>AND(#REF!,"AAAAAFdW7ZE=")</f>
        <v>#REF!</v>
      </c>
      <c r="EQ13" t="e">
        <f>AND(#REF!,"AAAAAFdW7ZI=")</f>
        <v>#REF!</v>
      </c>
      <c r="ER13" t="e">
        <f>AND(#REF!,"AAAAAFdW7ZM=")</f>
        <v>#REF!</v>
      </c>
      <c r="ES13" t="e">
        <f>IF(#REF!,"AAAAAFdW7ZQ=",0)</f>
        <v>#REF!</v>
      </c>
      <c r="ET13" t="e">
        <f>AND(#REF!,"AAAAAFdW7ZU=")</f>
        <v>#REF!</v>
      </c>
      <c r="EU13" t="e">
        <f>AND(#REF!,"AAAAAFdW7ZY=")</f>
        <v>#REF!</v>
      </c>
      <c r="EV13" t="e">
        <f>AND(#REF!,"AAAAAFdW7Zc=")</f>
        <v>#REF!</v>
      </c>
      <c r="EW13" t="e">
        <f>AND(#REF!,"AAAAAFdW7Zg=")</f>
        <v>#REF!</v>
      </c>
      <c r="EX13" t="e">
        <f>AND(#REF!,"AAAAAFdW7Zk=")</f>
        <v>#REF!</v>
      </c>
      <c r="EY13" t="e">
        <f>AND(#REF!,"AAAAAFdW7Zo=")</f>
        <v>#REF!</v>
      </c>
      <c r="EZ13" t="e">
        <f>AND(#REF!,"AAAAAFdW7Zs=")</f>
        <v>#REF!</v>
      </c>
      <c r="FA13" t="e">
        <f>AND(#REF!,"AAAAAFdW7Zw=")</f>
        <v>#REF!</v>
      </c>
      <c r="FB13" t="e">
        <f>AND(#REF!,"AAAAAFdW7Z0=")</f>
        <v>#REF!</v>
      </c>
      <c r="FC13" t="e">
        <f>AND(#REF!,"AAAAAFdW7Z4=")</f>
        <v>#REF!</v>
      </c>
      <c r="FD13" t="e">
        <f>AND(#REF!,"AAAAAFdW7Z8=")</f>
        <v>#REF!</v>
      </c>
      <c r="FE13" t="e">
        <f>AND(#REF!,"AAAAAFdW7aA=")</f>
        <v>#REF!</v>
      </c>
      <c r="FF13" t="e">
        <f>AND(#REF!,"AAAAAFdW7aE=")</f>
        <v>#REF!</v>
      </c>
      <c r="FG13" t="e">
        <f>AND(#REF!,"AAAAAFdW7aI=")</f>
        <v>#REF!</v>
      </c>
      <c r="FH13" t="e">
        <f>AND(#REF!,"AAAAAFdW7aM=")</f>
        <v>#REF!</v>
      </c>
      <c r="FI13" t="e">
        <f>AND(#REF!,"AAAAAFdW7aQ=")</f>
        <v>#REF!</v>
      </c>
      <c r="FJ13" t="e">
        <f>AND(#REF!,"AAAAAFdW7aU=")</f>
        <v>#REF!</v>
      </c>
      <c r="FK13" t="e">
        <f>AND(#REF!,"AAAAAFdW7aY=")</f>
        <v>#REF!</v>
      </c>
      <c r="FL13" t="e">
        <f>AND(#REF!,"AAAAAFdW7ac=")</f>
        <v>#REF!</v>
      </c>
      <c r="FM13" t="e">
        <f>IF(#REF!,"AAAAAFdW7ag=",0)</f>
        <v>#REF!</v>
      </c>
      <c r="FN13" t="e">
        <f>AND(#REF!,"AAAAAFdW7ak=")</f>
        <v>#REF!</v>
      </c>
      <c r="FO13" t="e">
        <f>AND(#REF!,"AAAAAFdW7ao=")</f>
        <v>#REF!</v>
      </c>
      <c r="FP13" t="e">
        <f>AND(#REF!,"AAAAAFdW7as=")</f>
        <v>#REF!</v>
      </c>
      <c r="FQ13" t="e">
        <f>AND(#REF!,"AAAAAFdW7aw=")</f>
        <v>#REF!</v>
      </c>
      <c r="FR13" t="e">
        <f>AND(#REF!,"AAAAAFdW7a0=")</f>
        <v>#REF!</v>
      </c>
      <c r="FS13" t="e">
        <f>AND(#REF!,"AAAAAFdW7a4=")</f>
        <v>#REF!</v>
      </c>
      <c r="FT13" t="e">
        <f>AND(#REF!,"AAAAAFdW7a8=")</f>
        <v>#REF!</v>
      </c>
      <c r="FU13" t="e">
        <f>AND(#REF!,"AAAAAFdW7bA=")</f>
        <v>#REF!</v>
      </c>
      <c r="FV13" t="e">
        <f>AND(#REF!,"AAAAAFdW7bE=")</f>
        <v>#REF!</v>
      </c>
      <c r="FW13" t="e">
        <f>AND(#REF!,"AAAAAFdW7bI=")</f>
        <v>#REF!</v>
      </c>
      <c r="FX13" t="e">
        <f>AND(#REF!,"AAAAAFdW7bM=")</f>
        <v>#REF!</v>
      </c>
      <c r="FY13" t="e">
        <f>AND(#REF!,"AAAAAFdW7bQ=")</f>
        <v>#REF!</v>
      </c>
      <c r="FZ13" t="e">
        <f>AND(#REF!,"AAAAAFdW7bU=")</f>
        <v>#REF!</v>
      </c>
      <c r="GA13" t="e">
        <f>AND(#REF!,"AAAAAFdW7bY=")</f>
        <v>#REF!</v>
      </c>
      <c r="GB13" t="e">
        <f>AND(#REF!,"AAAAAFdW7bc=")</f>
        <v>#REF!</v>
      </c>
      <c r="GC13" t="e">
        <f>AND(#REF!,"AAAAAFdW7bg=")</f>
        <v>#REF!</v>
      </c>
      <c r="GD13" t="e">
        <f>AND(#REF!,"AAAAAFdW7bk=")</f>
        <v>#REF!</v>
      </c>
      <c r="GE13" t="e">
        <f>AND(#REF!,"AAAAAFdW7bo=")</f>
        <v>#REF!</v>
      </c>
      <c r="GF13" t="e">
        <f>AND(#REF!,"AAAAAFdW7bs=")</f>
        <v>#REF!</v>
      </c>
      <c r="GG13" t="e">
        <f>IF(#REF!,"AAAAAFdW7bw=",0)</f>
        <v>#REF!</v>
      </c>
      <c r="GH13" t="e">
        <f>AND(#REF!,"AAAAAFdW7b0=")</f>
        <v>#REF!</v>
      </c>
      <c r="GI13" t="e">
        <f>AND(#REF!,"AAAAAFdW7b4=")</f>
        <v>#REF!</v>
      </c>
      <c r="GJ13" t="e">
        <f>AND(#REF!,"AAAAAFdW7b8=")</f>
        <v>#REF!</v>
      </c>
      <c r="GK13" t="e">
        <f>AND(#REF!,"AAAAAFdW7cA=")</f>
        <v>#REF!</v>
      </c>
      <c r="GL13" t="e">
        <f>AND(#REF!,"AAAAAFdW7cE=")</f>
        <v>#REF!</v>
      </c>
      <c r="GM13" t="e">
        <f>AND(#REF!,"AAAAAFdW7cI=")</f>
        <v>#REF!</v>
      </c>
      <c r="GN13" t="e">
        <f>AND(#REF!,"AAAAAFdW7cM=")</f>
        <v>#REF!</v>
      </c>
      <c r="GO13" t="e">
        <f>AND(#REF!,"AAAAAFdW7cQ=")</f>
        <v>#REF!</v>
      </c>
      <c r="GP13" t="e">
        <f>AND(#REF!,"AAAAAFdW7cU=")</f>
        <v>#REF!</v>
      </c>
      <c r="GQ13" t="e">
        <f>AND(#REF!,"AAAAAFdW7cY=")</f>
        <v>#REF!</v>
      </c>
      <c r="GR13" t="e">
        <f>AND(#REF!,"AAAAAFdW7cc=")</f>
        <v>#REF!</v>
      </c>
      <c r="GS13" t="e">
        <f>AND(#REF!,"AAAAAFdW7cg=")</f>
        <v>#REF!</v>
      </c>
      <c r="GT13" t="e">
        <f>AND(#REF!,"AAAAAFdW7ck=")</f>
        <v>#REF!</v>
      </c>
      <c r="GU13" t="e">
        <f>AND(#REF!,"AAAAAFdW7co=")</f>
        <v>#REF!</v>
      </c>
      <c r="GV13" t="e">
        <f>AND(#REF!,"AAAAAFdW7cs=")</f>
        <v>#REF!</v>
      </c>
      <c r="GW13" t="e">
        <f>AND(#REF!,"AAAAAFdW7cw=")</f>
        <v>#REF!</v>
      </c>
      <c r="GX13" t="e">
        <f>AND(#REF!,"AAAAAFdW7c0=")</f>
        <v>#REF!</v>
      </c>
      <c r="GY13" t="e">
        <f>AND(#REF!,"AAAAAFdW7c4=")</f>
        <v>#REF!</v>
      </c>
      <c r="GZ13" t="e">
        <f>AND(#REF!,"AAAAAFdW7c8=")</f>
        <v>#REF!</v>
      </c>
      <c r="HA13" t="e">
        <f>IF(#REF!,"AAAAAFdW7dA=",0)</f>
        <v>#REF!</v>
      </c>
      <c r="HB13" t="e">
        <f>AND(#REF!,"AAAAAFdW7dE=")</f>
        <v>#REF!</v>
      </c>
      <c r="HC13" t="e">
        <f>AND(#REF!,"AAAAAFdW7dI=")</f>
        <v>#REF!</v>
      </c>
      <c r="HD13" t="e">
        <f>AND(#REF!,"AAAAAFdW7dM=")</f>
        <v>#REF!</v>
      </c>
      <c r="HE13" t="e">
        <f>AND(#REF!,"AAAAAFdW7dQ=")</f>
        <v>#REF!</v>
      </c>
      <c r="HF13" t="e">
        <f>AND(#REF!,"AAAAAFdW7dU=")</f>
        <v>#REF!</v>
      </c>
      <c r="HG13" t="e">
        <f>AND(#REF!,"AAAAAFdW7dY=")</f>
        <v>#REF!</v>
      </c>
      <c r="HH13" t="e">
        <f>AND(#REF!,"AAAAAFdW7dc=")</f>
        <v>#REF!</v>
      </c>
      <c r="HI13" t="e">
        <f>AND(#REF!,"AAAAAFdW7dg=")</f>
        <v>#REF!</v>
      </c>
      <c r="HJ13" t="e">
        <f>AND(#REF!,"AAAAAFdW7dk=")</f>
        <v>#REF!</v>
      </c>
      <c r="HK13" t="e">
        <f>AND(#REF!,"AAAAAFdW7do=")</f>
        <v>#REF!</v>
      </c>
      <c r="HL13" t="e">
        <f>AND(#REF!,"AAAAAFdW7ds=")</f>
        <v>#REF!</v>
      </c>
      <c r="HM13" t="e">
        <f>AND(#REF!,"AAAAAFdW7dw=")</f>
        <v>#REF!</v>
      </c>
      <c r="HN13" t="e">
        <f>AND(#REF!,"AAAAAFdW7d0=")</f>
        <v>#REF!</v>
      </c>
      <c r="HO13" t="e">
        <f>AND(#REF!,"AAAAAFdW7d4=")</f>
        <v>#REF!</v>
      </c>
      <c r="HP13" t="e">
        <f>AND(#REF!,"AAAAAFdW7d8=")</f>
        <v>#REF!</v>
      </c>
      <c r="HQ13" t="e">
        <f>AND(#REF!,"AAAAAFdW7eA=")</f>
        <v>#REF!</v>
      </c>
      <c r="HR13" t="e">
        <f>AND(#REF!,"AAAAAFdW7eE=")</f>
        <v>#REF!</v>
      </c>
      <c r="HS13" t="e">
        <f>AND(#REF!,"AAAAAFdW7eI=")</f>
        <v>#REF!</v>
      </c>
      <c r="HT13" t="e">
        <f>AND(#REF!,"AAAAAFdW7eM=")</f>
        <v>#REF!</v>
      </c>
      <c r="HU13" t="e">
        <f>IF(#REF!,"AAAAAFdW7eQ=",0)</f>
        <v>#REF!</v>
      </c>
      <c r="HV13" t="e">
        <f>AND(#REF!,"AAAAAFdW7eU=")</f>
        <v>#REF!</v>
      </c>
      <c r="HW13" t="e">
        <f>AND(#REF!,"AAAAAFdW7eY=")</f>
        <v>#REF!</v>
      </c>
      <c r="HX13" t="e">
        <f>AND(#REF!,"AAAAAFdW7ec=")</f>
        <v>#REF!</v>
      </c>
      <c r="HY13" t="e">
        <f>AND(#REF!,"AAAAAFdW7eg=")</f>
        <v>#REF!</v>
      </c>
      <c r="HZ13" t="e">
        <f>AND(#REF!,"AAAAAFdW7ek=")</f>
        <v>#REF!</v>
      </c>
      <c r="IA13" t="e">
        <f>AND(#REF!,"AAAAAFdW7eo=")</f>
        <v>#REF!</v>
      </c>
      <c r="IB13" t="e">
        <f>AND(#REF!,"AAAAAFdW7es=")</f>
        <v>#REF!</v>
      </c>
      <c r="IC13" t="e">
        <f>AND(#REF!,"AAAAAFdW7ew=")</f>
        <v>#REF!</v>
      </c>
      <c r="ID13" t="e">
        <f>AND(#REF!,"AAAAAFdW7e0=")</f>
        <v>#REF!</v>
      </c>
      <c r="IE13" t="e">
        <f>AND(#REF!,"AAAAAFdW7e4=")</f>
        <v>#REF!</v>
      </c>
      <c r="IF13" t="e">
        <f>AND(#REF!,"AAAAAFdW7e8=")</f>
        <v>#REF!</v>
      </c>
      <c r="IG13" t="e">
        <f>AND(#REF!,"AAAAAFdW7fA=")</f>
        <v>#REF!</v>
      </c>
      <c r="IH13" t="e">
        <f>AND(#REF!,"AAAAAFdW7fE=")</f>
        <v>#REF!</v>
      </c>
      <c r="II13" t="e">
        <f>AND(#REF!,"AAAAAFdW7fI=")</f>
        <v>#REF!</v>
      </c>
      <c r="IJ13" t="e">
        <f>AND(#REF!,"AAAAAFdW7fM=")</f>
        <v>#REF!</v>
      </c>
      <c r="IK13" t="e">
        <f>AND(#REF!,"AAAAAFdW7fQ=")</f>
        <v>#REF!</v>
      </c>
      <c r="IL13" t="e">
        <f>AND(#REF!,"AAAAAFdW7fU=")</f>
        <v>#REF!</v>
      </c>
      <c r="IM13" t="e">
        <f>AND(#REF!,"AAAAAFdW7fY=")</f>
        <v>#REF!</v>
      </c>
      <c r="IN13" t="e">
        <f>AND(#REF!,"AAAAAFdW7fc=")</f>
        <v>#REF!</v>
      </c>
      <c r="IO13" t="e">
        <f>IF(#REF!,"AAAAAFdW7fg=",0)</f>
        <v>#REF!</v>
      </c>
      <c r="IP13" t="e">
        <f>AND(#REF!,"AAAAAFdW7fk=")</f>
        <v>#REF!</v>
      </c>
      <c r="IQ13" t="e">
        <f>AND(#REF!,"AAAAAFdW7fo=")</f>
        <v>#REF!</v>
      </c>
      <c r="IR13" t="e">
        <f>AND(#REF!,"AAAAAFdW7fs=")</f>
        <v>#REF!</v>
      </c>
      <c r="IS13" t="e">
        <f>AND(#REF!,"AAAAAFdW7fw=")</f>
        <v>#REF!</v>
      </c>
      <c r="IT13" t="e">
        <f>AND(#REF!,"AAAAAFdW7f0=")</f>
        <v>#REF!</v>
      </c>
      <c r="IU13" t="e">
        <f>AND(#REF!,"AAAAAFdW7f4=")</f>
        <v>#REF!</v>
      </c>
      <c r="IV13" t="e">
        <f>AND(#REF!,"AAAAAFdW7f8=")</f>
        <v>#REF!</v>
      </c>
    </row>
    <row r="14" spans="1:256" x14ac:dyDescent="0.15">
      <c r="A14" t="e">
        <f>AND(#REF!,"AAAAAGv39wA=")</f>
        <v>#REF!</v>
      </c>
      <c r="B14" t="e">
        <f>AND(#REF!,"AAAAAGv39wE=")</f>
        <v>#REF!</v>
      </c>
      <c r="C14" t="e">
        <f>AND(#REF!,"AAAAAGv39wI=")</f>
        <v>#REF!</v>
      </c>
      <c r="D14" t="e">
        <f>AND(#REF!,"AAAAAGv39wM=")</f>
        <v>#REF!</v>
      </c>
      <c r="E14" t="e">
        <f>AND(#REF!,"AAAAAGv39wQ=")</f>
        <v>#REF!</v>
      </c>
      <c r="F14" t="e">
        <f>AND(#REF!,"AAAAAGv39wU=")</f>
        <v>#REF!</v>
      </c>
      <c r="G14" t="e">
        <f>AND(#REF!,"AAAAAGv39wY=")</f>
        <v>#REF!</v>
      </c>
      <c r="H14" t="e">
        <f>AND(#REF!,"AAAAAGv39wc=")</f>
        <v>#REF!</v>
      </c>
      <c r="I14" t="e">
        <f>AND(#REF!,"AAAAAGv39wg=")</f>
        <v>#REF!</v>
      </c>
      <c r="J14" t="e">
        <f>AND(#REF!,"AAAAAGv39wk=")</f>
        <v>#REF!</v>
      </c>
      <c r="K14" t="e">
        <f>AND(#REF!,"AAAAAGv39wo=")</f>
        <v>#REF!</v>
      </c>
      <c r="L14" t="e">
        <f>AND(#REF!,"AAAAAGv39ws=")</f>
        <v>#REF!</v>
      </c>
      <c r="M14" t="e">
        <f>IF(#REF!,"AAAAAGv39ww=",0)</f>
        <v>#REF!</v>
      </c>
      <c r="N14" t="e">
        <f>AND(#REF!,"AAAAAGv39w0=")</f>
        <v>#REF!</v>
      </c>
      <c r="O14" t="e">
        <f>AND(#REF!,"AAAAAGv39w4=")</f>
        <v>#REF!</v>
      </c>
      <c r="P14" t="e">
        <f>AND(#REF!,"AAAAAGv39w8=")</f>
        <v>#REF!</v>
      </c>
      <c r="Q14" t="e">
        <f>AND(#REF!,"AAAAAGv39xA=")</f>
        <v>#REF!</v>
      </c>
      <c r="R14" t="e">
        <f>AND(#REF!,"AAAAAGv39xE=")</f>
        <v>#REF!</v>
      </c>
      <c r="S14" t="e">
        <f>AND(#REF!,"AAAAAGv39xI=")</f>
        <v>#REF!</v>
      </c>
      <c r="T14" t="e">
        <f>AND(#REF!,"AAAAAGv39xM=")</f>
        <v>#REF!</v>
      </c>
      <c r="U14" t="e">
        <f>AND(#REF!,"AAAAAGv39xQ=")</f>
        <v>#REF!</v>
      </c>
      <c r="V14" t="e">
        <f>AND(#REF!,"AAAAAGv39xU=")</f>
        <v>#REF!</v>
      </c>
      <c r="W14" t="e">
        <f>AND(#REF!,"AAAAAGv39xY=")</f>
        <v>#REF!</v>
      </c>
      <c r="X14" t="e">
        <f>AND(#REF!,"AAAAAGv39xc=")</f>
        <v>#REF!</v>
      </c>
      <c r="Y14" t="e">
        <f>AND(#REF!,"AAAAAGv39xg=")</f>
        <v>#REF!</v>
      </c>
      <c r="Z14" t="e">
        <f>AND(#REF!,"AAAAAGv39xk=")</f>
        <v>#REF!</v>
      </c>
      <c r="AA14" t="e">
        <f>AND(#REF!,"AAAAAGv39xo=")</f>
        <v>#REF!</v>
      </c>
      <c r="AB14" t="e">
        <f>AND(#REF!,"AAAAAGv39xs=")</f>
        <v>#REF!</v>
      </c>
      <c r="AC14" t="e">
        <f>AND(#REF!,"AAAAAGv39xw=")</f>
        <v>#REF!</v>
      </c>
      <c r="AD14" t="e">
        <f>AND(#REF!,"AAAAAGv39x0=")</f>
        <v>#REF!</v>
      </c>
      <c r="AE14" t="e">
        <f>AND(#REF!,"AAAAAGv39x4=")</f>
        <v>#REF!</v>
      </c>
      <c r="AF14" t="e">
        <f>AND(#REF!,"AAAAAGv39x8=")</f>
        <v>#REF!</v>
      </c>
      <c r="AG14" t="e">
        <f>IF(#REF!,"AAAAAGv39yA=",0)</f>
        <v>#REF!</v>
      </c>
      <c r="AH14" t="e">
        <f>AND(#REF!,"AAAAAGv39yE=")</f>
        <v>#REF!</v>
      </c>
      <c r="AI14" t="e">
        <f>AND(#REF!,"AAAAAGv39yI=")</f>
        <v>#REF!</v>
      </c>
      <c r="AJ14" t="e">
        <f>AND(#REF!,"AAAAAGv39yM=")</f>
        <v>#REF!</v>
      </c>
      <c r="AK14" t="e">
        <f>AND(#REF!,"AAAAAGv39yQ=")</f>
        <v>#REF!</v>
      </c>
      <c r="AL14" t="e">
        <f>AND(#REF!,"AAAAAGv39yU=")</f>
        <v>#REF!</v>
      </c>
      <c r="AM14" t="e">
        <f>AND(#REF!,"AAAAAGv39yY=")</f>
        <v>#REF!</v>
      </c>
      <c r="AN14" t="e">
        <f>AND(#REF!,"AAAAAGv39yc=")</f>
        <v>#REF!</v>
      </c>
      <c r="AO14" t="e">
        <f>AND(#REF!,"AAAAAGv39yg=")</f>
        <v>#REF!</v>
      </c>
      <c r="AP14" t="e">
        <f>AND(#REF!,"AAAAAGv39yk=")</f>
        <v>#REF!</v>
      </c>
      <c r="AQ14" t="e">
        <f>AND(#REF!,"AAAAAGv39yo=")</f>
        <v>#REF!</v>
      </c>
      <c r="AR14" t="e">
        <f>AND(#REF!,"AAAAAGv39ys=")</f>
        <v>#REF!</v>
      </c>
      <c r="AS14" t="e">
        <f>AND(#REF!,"AAAAAGv39yw=")</f>
        <v>#REF!</v>
      </c>
      <c r="AT14" t="e">
        <f>AND(#REF!,"AAAAAGv39y0=")</f>
        <v>#REF!</v>
      </c>
      <c r="AU14" t="e">
        <f>AND(#REF!,"AAAAAGv39y4=")</f>
        <v>#REF!</v>
      </c>
      <c r="AV14" t="e">
        <f>AND(#REF!,"AAAAAGv39y8=")</f>
        <v>#REF!</v>
      </c>
      <c r="AW14" t="e">
        <f>AND(#REF!,"AAAAAGv39zA=")</f>
        <v>#REF!</v>
      </c>
      <c r="AX14" t="e">
        <f>AND(#REF!,"AAAAAGv39zE=")</f>
        <v>#REF!</v>
      </c>
      <c r="AY14" t="e">
        <f>AND(#REF!,"AAAAAGv39zI=")</f>
        <v>#REF!</v>
      </c>
      <c r="AZ14" t="e">
        <f>AND(#REF!,"AAAAAGv39zM=")</f>
        <v>#REF!</v>
      </c>
      <c r="BA14" t="e">
        <f>IF(#REF!,"AAAAAGv39zQ=",0)</f>
        <v>#REF!</v>
      </c>
      <c r="BB14" t="e">
        <f>AND(#REF!,"AAAAAGv39zU=")</f>
        <v>#REF!</v>
      </c>
      <c r="BC14" t="e">
        <f>AND(#REF!,"AAAAAGv39zY=")</f>
        <v>#REF!</v>
      </c>
      <c r="BD14" t="e">
        <f>AND(#REF!,"AAAAAGv39zc=")</f>
        <v>#REF!</v>
      </c>
      <c r="BE14" t="e">
        <f>AND(#REF!,"AAAAAGv39zg=")</f>
        <v>#REF!</v>
      </c>
      <c r="BF14" t="e">
        <f>AND(#REF!,"AAAAAGv39zk=")</f>
        <v>#REF!</v>
      </c>
      <c r="BG14" t="e">
        <f>AND(#REF!,"AAAAAGv39zo=")</f>
        <v>#REF!</v>
      </c>
      <c r="BH14" t="e">
        <f>AND(#REF!,"AAAAAGv39zs=")</f>
        <v>#REF!</v>
      </c>
      <c r="BI14" t="e">
        <f>AND(#REF!,"AAAAAGv39zw=")</f>
        <v>#REF!</v>
      </c>
      <c r="BJ14" t="e">
        <f>AND(#REF!,"AAAAAGv39z0=")</f>
        <v>#REF!</v>
      </c>
      <c r="BK14" t="e">
        <f>AND(#REF!,"AAAAAGv39z4=")</f>
        <v>#REF!</v>
      </c>
      <c r="BL14" t="e">
        <f>AND(#REF!,"AAAAAGv39z8=")</f>
        <v>#REF!</v>
      </c>
      <c r="BM14" t="e">
        <f>AND(#REF!,"AAAAAGv390A=")</f>
        <v>#REF!</v>
      </c>
      <c r="BN14" t="e">
        <f>AND(#REF!,"AAAAAGv390E=")</f>
        <v>#REF!</v>
      </c>
      <c r="BO14" t="e">
        <f>AND(#REF!,"AAAAAGv390I=")</f>
        <v>#REF!</v>
      </c>
      <c r="BP14" t="e">
        <f>AND(#REF!,"AAAAAGv390M=")</f>
        <v>#REF!</v>
      </c>
      <c r="BQ14" t="e">
        <f>AND(#REF!,"AAAAAGv390Q=")</f>
        <v>#REF!</v>
      </c>
      <c r="BR14" t="e">
        <f>AND(#REF!,"AAAAAGv390U=")</f>
        <v>#REF!</v>
      </c>
      <c r="BS14" t="e">
        <f>AND(#REF!,"AAAAAGv390Y=")</f>
        <v>#REF!</v>
      </c>
      <c r="BT14" t="e">
        <f>AND(#REF!,"AAAAAGv390c=")</f>
        <v>#REF!</v>
      </c>
      <c r="BU14" t="e">
        <f>IF(#REF!,"AAAAAGv390g=",0)</f>
        <v>#REF!</v>
      </c>
      <c r="BV14" t="e">
        <f>AND(#REF!,"AAAAAGv390k=")</f>
        <v>#REF!</v>
      </c>
      <c r="BW14" t="e">
        <f>AND(#REF!,"AAAAAGv390o=")</f>
        <v>#REF!</v>
      </c>
      <c r="BX14" t="e">
        <f>AND(#REF!,"AAAAAGv390s=")</f>
        <v>#REF!</v>
      </c>
      <c r="BY14" t="e">
        <f>AND(#REF!,"AAAAAGv390w=")</f>
        <v>#REF!</v>
      </c>
      <c r="BZ14" t="e">
        <f>AND(#REF!,"AAAAAGv3900=")</f>
        <v>#REF!</v>
      </c>
      <c r="CA14" t="e">
        <f>AND(#REF!,"AAAAAGv3904=")</f>
        <v>#REF!</v>
      </c>
      <c r="CB14" t="e">
        <f>AND(#REF!,"AAAAAGv3908=")</f>
        <v>#REF!</v>
      </c>
      <c r="CC14" t="e">
        <f>AND(#REF!,"AAAAAGv391A=")</f>
        <v>#REF!</v>
      </c>
      <c r="CD14" t="e">
        <f>AND(#REF!,"AAAAAGv391E=")</f>
        <v>#REF!</v>
      </c>
      <c r="CE14" t="e">
        <f>AND(#REF!,"AAAAAGv391I=")</f>
        <v>#REF!</v>
      </c>
      <c r="CF14" t="e">
        <f>AND(#REF!,"AAAAAGv391M=")</f>
        <v>#REF!</v>
      </c>
      <c r="CG14" t="e">
        <f>AND(#REF!,"AAAAAGv391Q=")</f>
        <v>#REF!</v>
      </c>
      <c r="CH14" t="e">
        <f>AND(#REF!,"AAAAAGv391U=")</f>
        <v>#REF!</v>
      </c>
      <c r="CI14" t="e">
        <f>AND(#REF!,"AAAAAGv391Y=")</f>
        <v>#REF!</v>
      </c>
      <c r="CJ14" t="e">
        <f>AND(#REF!,"AAAAAGv391c=")</f>
        <v>#REF!</v>
      </c>
      <c r="CK14" t="e">
        <f>AND(#REF!,"AAAAAGv391g=")</f>
        <v>#REF!</v>
      </c>
      <c r="CL14" t="e">
        <f>AND(#REF!,"AAAAAGv391k=")</f>
        <v>#REF!</v>
      </c>
      <c r="CM14" t="e">
        <f>AND(#REF!,"AAAAAGv391o=")</f>
        <v>#REF!</v>
      </c>
      <c r="CN14" t="e">
        <f>AND(#REF!,"AAAAAGv391s=")</f>
        <v>#REF!</v>
      </c>
      <c r="CO14" t="e">
        <f>IF(#REF!,"AAAAAGv391w=",0)</f>
        <v>#REF!</v>
      </c>
      <c r="CP14" t="e">
        <f>AND(#REF!,"AAAAAGv3910=")</f>
        <v>#REF!</v>
      </c>
      <c r="CQ14" t="e">
        <f>AND(#REF!,"AAAAAGv3914=")</f>
        <v>#REF!</v>
      </c>
      <c r="CR14" t="e">
        <f>AND(#REF!,"AAAAAGv3918=")</f>
        <v>#REF!</v>
      </c>
      <c r="CS14" t="e">
        <f>AND(#REF!,"AAAAAGv392A=")</f>
        <v>#REF!</v>
      </c>
      <c r="CT14" t="e">
        <f>AND(#REF!,"AAAAAGv392E=")</f>
        <v>#REF!</v>
      </c>
      <c r="CU14" t="e">
        <f>AND(#REF!,"AAAAAGv392I=")</f>
        <v>#REF!</v>
      </c>
      <c r="CV14" t="e">
        <f>AND(#REF!,"AAAAAGv392M=")</f>
        <v>#REF!</v>
      </c>
      <c r="CW14" t="e">
        <f>AND(#REF!,"AAAAAGv392Q=")</f>
        <v>#REF!</v>
      </c>
      <c r="CX14" t="e">
        <f>AND(#REF!,"AAAAAGv392U=")</f>
        <v>#REF!</v>
      </c>
      <c r="CY14" t="e">
        <f>AND(#REF!,"AAAAAGv392Y=")</f>
        <v>#REF!</v>
      </c>
      <c r="CZ14" t="e">
        <f>AND(#REF!,"AAAAAGv392c=")</f>
        <v>#REF!</v>
      </c>
      <c r="DA14" t="e">
        <f>AND(#REF!,"AAAAAGv392g=")</f>
        <v>#REF!</v>
      </c>
      <c r="DB14" t="e">
        <f>AND(#REF!,"AAAAAGv392k=")</f>
        <v>#REF!</v>
      </c>
      <c r="DC14" t="e">
        <f>AND(#REF!,"AAAAAGv392o=")</f>
        <v>#REF!</v>
      </c>
      <c r="DD14" t="e">
        <f>AND(#REF!,"AAAAAGv392s=")</f>
        <v>#REF!</v>
      </c>
      <c r="DE14" t="e">
        <f>AND(#REF!,"AAAAAGv392w=")</f>
        <v>#REF!</v>
      </c>
      <c r="DF14" t="e">
        <f>AND(#REF!,"AAAAAGv3920=")</f>
        <v>#REF!</v>
      </c>
      <c r="DG14" t="e">
        <f>AND(#REF!,"AAAAAGv3924=")</f>
        <v>#REF!</v>
      </c>
      <c r="DH14" t="e">
        <f>AND(#REF!,"AAAAAGv3928=")</f>
        <v>#REF!</v>
      </c>
      <c r="DI14" t="e">
        <f>IF(#REF!,"AAAAAGv393A=",0)</f>
        <v>#REF!</v>
      </c>
      <c r="DJ14" t="e">
        <f>AND(#REF!,"AAAAAGv393E=")</f>
        <v>#REF!</v>
      </c>
      <c r="DK14" t="e">
        <f>AND(#REF!,"AAAAAGv393I=")</f>
        <v>#REF!</v>
      </c>
      <c r="DL14" t="e">
        <f>AND(#REF!,"AAAAAGv393M=")</f>
        <v>#REF!</v>
      </c>
      <c r="DM14" t="e">
        <f>AND(#REF!,"AAAAAGv393Q=")</f>
        <v>#REF!</v>
      </c>
      <c r="DN14" t="e">
        <f>AND(#REF!,"AAAAAGv393U=")</f>
        <v>#REF!</v>
      </c>
      <c r="DO14" t="e">
        <f>AND(#REF!,"AAAAAGv393Y=")</f>
        <v>#REF!</v>
      </c>
      <c r="DP14" t="e">
        <f>AND(#REF!,"AAAAAGv393c=")</f>
        <v>#REF!</v>
      </c>
      <c r="DQ14" t="e">
        <f>AND(#REF!,"AAAAAGv393g=")</f>
        <v>#REF!</v>
      </c>
      <c r="DR14" t="e">
        <f>AND(#REF!,"AAAAAGv393k=")</f>
        <v>#REF!</v>
      </c>
      <c r="DS14" t="e">
        <f>AND(#REF!,"AAAAAGv393o=")</f>
        <v>#REF!</v>
      </c>
      <c r="DT14" t="e">
        <f>AND(#REF!,"AAAAAGv393s=")</f>
        <v>#REF!</v>
      </c>
      <c r="DU14" t="e">
        <f>AND(#REF!,"AAAAAGv393w=")</f>
        <v>#REF!</v>
      </c>
      <c r="DV14" t="e">
        <f>AND(#REF!,"AAAAAGv3930=")</f>
        <v>#REF!</v>
      </c>
      <c r="DW14" t="e">
        <f>AND(#REF!,"AAAAAGv3934=")</f>
        <v>#REF!</v>
      </c>
      <c r="DX14" t="e">
        <f>AND(#REF!,"AAAAAGv3938=")</f>
        <v>#REF!</v>
      </c>
      <c r="DY14" t="e">
        <f>AND(#REF!,"AAAAAGv394A=")</f>
        <v>#REF!</v>
      </c>
      <c r="DZ14" t="e">
        <f>AND(#REF!,"AAAAAGv394E=")</f>
        <v>#REF!</v>
      </c>
      <c r="EA14" t="e">
        <f>AND(#REF!,"AAAAAGv394I=")</f>
        <v>#REF!</v>
      </c>
      <c r="EB14" t="e">
        <f>AND(#REF!,"AAAAAGv394M=")</f>
        <v>#REF!</v>
      </c>
      <c r="EC14" t="e">
        <f>IF(#REF!,"AAAAAGv394Q=",0)</f>
        <v>#REF!</v>
      </c>
      <c r="ED14" t="e">
        <f>AND(#REF!,"AAAAAGv394U=")</f>
        <v>#REF!</v>
      </c>
      <c r="EE14" t="e">
        <f>AND(#REF!,"AAAAAGv394Y=")</f>
        <v>#REF!</v>
      </c>
      <c r="EF14" t="e">
        <f>AND(#REF!,"AAAAAGv394c=")</f>
        <v>#REF!</v>
      </c>
      <c r="EG14" t="e">
        <f>AND(#REF!,"AAAAAGv394g=")</f>
        <v>#REF!</v>
      </c>
      <c r="EH14" t="e">
        <f>AND(#REF!,"AAAAAGv394k=")</f>
        <v>#REF!</v>
      </c>
      <c r="EI14" t="e">
        <f>AND(#REF!,"AAAAAGv394o=")</f>
        <v>#REF!</v>
      </c>
      <c r="EJ14" t="e">
        <f>AND(#REF!,"AAAAAGv394s=")</f>
        <v>#REF!</v>
      </c>
      <c r="EK14" t="e">
        <f>AND(#REF!,"AAAAAGv394w=")</f>
        <v>#REF!</v>
      </c>
      <c r="EL14" t="e">
        <f>AND(#REF!,"AAAAAGv3940=")</f>
        <v>#REF!</v>
      </c>
      <c r="EM14" t="e">
        <f>AND(#REF!,"AAAAAGv3944=")</f>
        <v>#REF!</v>
      </c>
      <c r="EN14" t="e">
        <f>AND(#REF!,"AAAAAGv3948=")</f>
        <v>#REF!</v>
      </c>
      <c r="EO14" t="e">
        <f>AND(#REF!,"AAAAAGv395A=")</f>
        <v>#REF!</v>
      </c>
      <c r="EP14" t="e">
        <f>AND(#REF!,"AAAAAGv395E=")</f>
        <v>#REF!</v>
      </c>
      <c r="EQ14" t="e">
        <f>AND(#REF!,"AAAAAGv395I=")</f>
        <v>#REF!</v>
      </c>
      <c r="ER14" t="e">
        <f>AND(#REF!,"AAAAAGv395M=")</f>
        <v>#REF!</v>
      </c>
      <c r="ES14" t="e">
        <f>AND(#REF!,"AAAAAGv395Q=")</f>
        <v>#REF!</v>
      </c>
      <c r="ET14" t="e">
        <f>AND(#REF!,"AAAAAGv395U=")</f>
        <v>#REF!</v>
      </c>
      <c r="EU14" t="e">
        <f>AND(#REF!,"AAAAAGv395Y=")</f>
        <v>#REF!</v>
      </c>
      <c r="EV14" t="e">
        <f>AND(#REF!,"AAAAAGv395c=")</f>
        <v>#REF!</v>
      </c>
      <c r="EW14" t="e">
        <f>IF(#REF!,"AAAAAGv395g=",0)</f>
        <v>#REF!</v>
      </c>
      <c r="EX14" t="e">
        <f>AND(#REF!,"AAAAAGv395k=")</f>
        <v>#REF!</v>
      </c>
      <c r="EY14" t="e">
        <f>AND(#REF!,"AAAAAGv395o=")</f>
        <v>#REF!</v>
      </c>
      <c r="EZ14" t="e">
        <f>AND(#REF!,"AAAAAGv395s=")</f>
        <v>#REF!</v>
      </c>
      <c r="FA14" t="e">
        <f>AND(#REF!,"AAAAAGv395w=")</f>
        <v>#REF!</v>
      </c>
      <c r="FB14" t="e">
        <f>AND(#REF!,"AAAAAGv3950=")</f>
        <v>#REF!</v>
      </c>
      <c r="FC14" t="e">
        <f>AND(#REF!,"AAAAAGv3954=")</f>
        <v>#REF!</v>
      </c>
      <c r="FD14" t="e">
        <f>AND(#REF!,"AAAAAGv3958=")</f>
        <v>#REF!</v>
      </c>
      <c r="FE14" t="e">
        <f>AND(#REF!,"AAAAAGv396A=")</f>
        <v>#REF!</v>
      </c>
      <c r="FF14" t="e">
        <f>AND(#REF!,"AAAAAGv396E=")</f>
        <v>#REF!</v>
      </c>
      <c r="FG14" t="e">
        <f>AND(#REF!,"AAAAAGv396I=")</f>
        <v>#REF!</v>
      </c>
      <c r="FH14" t="e">
        <f>AND(#REF!,"AAAAAGv396M=")</f>
        <v>#REF!</v>
      </c>
      <c r="FI14" t="e">
        <f>AND(#REF!,"AAAAAGv396Q=")</f>
        <v>#REF!</v>
      </c>
      <c r="FJ14" t="e">
        <f>AND(#REF!,"AAAAAGv396U=")</f>
        <v>#REF!</v>
      </c>
      <c r="FK14" t="e">
        <f>AND(#REF!,"AAAAAGv396Y=")</f>
        <v>#REF!</v>
      </c>
      <c r="FL14" t="e">
        <f>AND(#REF!,"AAAAAGv396c=")</f>
        <v>#REF!</v>
      </c>
      <c r="FM14" t="e">
        <f>AND(#REF!,"AAAAAGv396g=")</f>
        <v>#REF!</v>
      </c>
      <c r="FN14" t="e">
        <f>AND(#REF!,"AAAAAGv396k=")</f>
        <v>#REF!</v>
      </c>
      <c r="FO14" t="e">
        <f>AND(#REF!,"AAAAAGv396o=")</f>
        <v>#REF!</v>
      </c>
      <c r="FP14" t="e">
        <f>AND(#REF!,"AAAAAGv396s=")</f>
        <v>#REF!</v>
      </c>
      <c r="FQ14" t="e">
        <f>IF(#REF!,"AAAAAGv396w=",0)</f>
        <v>#REF!</v>
      </c>
      <c r="FR14" t="e">
        <f>AND(#REF!,"AAAAAGv3960=")</f>
        <v>#REF!</v>
      </c>
      <c r="FS14" t="e">
        <f>AND(#REF!,"AAAAAGv3964=")</f>
        <v>#REF!</v>
      </c>
      <c r="FT14" t="e">
        <f>AND(#REF!,"AAAAAGv3968=")</f>
        <v>#REF!</v>
      </c>
      <c r="FU14" t="e">
        <f>AND(#REF!,"AAAAAGv397A=")</f>
        <v>#REF!</v>
      </c>
      <c r="FV14" t="e">
        <f>AND(#REF!,"AAAAAGv397E=")</f>
        <v>#REF!</v>
      </c>
      <c r="FW14" t="e">
        <f>AND(#REF!,"AAAAAGv397I=")</f>
        <v>#REF!</v>
      </c>
      <c r="FX14" t="e">
        <f>AND(#REF!,"AAAAAGv397M=")</f>
        <v>#REF!</v>
      </c>
      <c r="FY14" t="e">
        <f>AND(#REF!,"AAAAAGv397Q=")</f>
        <v>#REF!</v>
      </c>
      <c r="FZ14" t="e">
        <f>AND(#REF!,"AAAAAGv397U=")</f>
        <v>#REF!</v>
      </c>
      <c r="GA14" t="e">
        <f>AND(#REF!,"AAAAAGv397Y=")</f>
        <v>#REF!</v>
      </c>
      <c r="GB14" t="e">
        <f>AND(#REF!,"AAAAAGv397c=")</f>
        <v>#REF!</v>
      </c>
      <c r="GC14" t="e">
        <f>AND(#REF!,"AAAAAGv397g=")</f>
        <v>#REF!</v>
      </c>
      <c r="GD14" t="e">
        <f>AND(#REF!,"AAAAAGv397k=")</f>
        <v>#REF!</v>
      </c>
      <c r="GE14" t="e">
        <f>AND(#REF!,"AAAAAGv397o=")</f>
        <v>#REF!</v>
      </c>
      <c r="GF14" t="e">
        <f>AND(#REF!,"AAAAAGv397s=")</f>
        <v>#REF!</v>
      </c>
      <c r="GG14" t="e">
        <f>AND(#REF!,"AAAAAGv397w=")</f>
        <v>#REF!</v>
      </c>
      <c r="GH14" t="e">
        <f>AND(#REF!,"AAAAAGv3970=")</f>
        <v>#REF!</v>
      </c>
      <c r="GI14" t="e">
        <f>AND(#REF!,"AAAAAGv3974=")</f>
        <v>#REF!</v>
      </c>
      <c r="GJ14" t="e">
        <f>AND(#REF!,"AAAAAGv3978=")</f>
        <v>#REF!</v>
      </c>
      <c r="GK14" t="e">
        <f>IF(#REF!,"AAAAAGv398A=",0)</f>
        <v>#REF!</v>
      </c>
      <c r="GL14" t="e">
        <f>AND(#REF!,"AAAAAGv398E=")</f>
        <v>#REF!</v>
      </c>
      <c r="GM14" t="e">
        <f>AND(#REF!,"AAAAAGv398I=")</f>
        <v>#REF!</v>
      </c>
      <c r="GN14" t="e">
        <f>AND(#REF!,"AAAAAGv398M=")</f>
        <v>#REF!</v>
      </c>
      <c r="GO14" t="e">
        <f>AND(#REF!,"AAAAAGv398Q=")</f>
        <v>#REF!</v>
      </c>
      <c r="GP14" t="e">
        <f>AND(#REF!,"AAAAAGv398U=")</f>
        <v>#REF!</v>
      </c>
      <c r="GQ14" t="e">
        <f>AND(#REF!,"AAAAAGv398Y=")</f>
        <v>#REF!</v>
      </c>
      <c r="GR14" t="e">
        <f>AND(#REF!,"AAAAAGv398c=")</f>
        <v>#REF!</v>
      </c>
      <c r="GS14" t="e">
        <f>AND(#REF!,"AAAAAGv398g=")</f>
        <v>#REF!</v>
      </c>
      <c r="GT14" t="e">
        <f>AND(#REF!,"AAAAAGv398k=")</f>
        <v>#REF!</v>
      </c>
      <c r="GU14" t="e">
        <f>AND(#REF!,"AAAAAGv398o=")</f>
        <v>#REF!</v>
      </c>
      <c r="GV14" t="e">
        <f>AND(#REF!,"AAAAAGv398s=")</f>
        <v>#REF!</v>
      </c>
      <c r="GW14" t="e">
        <f>AND(#REF!,"AAAAAGv398w=")</f>
        <v>#REF!</v>
      </c>
      <c r="GX14" t="e">
        <f>AND(#REF!,"AAAAAGv3980=")</f>
        <v>#REF!</v>
      </c>
      <c r="GY14" t="e">
        <f>AND(#REF!,"AAAAAGv3984=")</f>
        <v>#REF!</v>
      </c>
      <c r="GZ14" t="e">
        <f>AND(#REF!,"AAAAAGv3988=")</f>
        <v>#REF!</v>
      </c>
      <c r="HA14" t="e">
        <f>AND(#REF!,"AAAAAGv399A=")</f>
        <v>#REF!</v>
      </c>
      <c r="HB14" t="e">
        <f>AND(#REF!,"AAAAAGv399E=")</f>
        <v>#REF!</v>
      </c>
      <c r="HC14" t="e">
        <f>AND(#REF!,"AAAAAGv399I=")</f>
        <v>#REF!</v>
      </c>
      <c r="HD14" t="e">
        <f>AND(#REF!,"AAAAAGv399M=")</f>
        <v>#REF!</v>
      </c>
      <c r="HE14" t="e">
        <f>IF(#REF!,"AAAAAGv399Q=",0)</f>
        <v>#REF!</v>
      </c>
      <c r="HF14" t="e">
        <f>AND(#REF!,"AAAAAGv399U=")</f>
        <v>#REF!</v>
      </c>
      <c r="HG14" t="e">
        <f>AND(#REF!,"AAAAAGv399Y=")</f>
        <v>#REF!</v>
      </c>
      <c r="HH14" t="e">
        <f>AND(#REF!,"AAAAAGv399c=")</f>
        <v>#REF!</v>
      </c>
      <c r="HI14" t="e">
        <f>AND(#REF!,"AAAAAGv399g=")</f>
        <v>#REF!</v>
      </c>
      <c r="HJ14" t="e">
        <f>AND(#REF!,"AAAAAGv399k=")</f>
        <v>#REF!</v>
      </c>
      <c r="HK14" t="e">
        <f>AND(#REF!,"AAAAAGv399o=")</f>
        <v>#REF!</v>
      </c>
      <c r="HL14" t="e">
        <f>AND(#REF!,"AAAAAGv399s=")</f>
        <v>#REF!</v>
      </c>
      <c r="HM14" t="e">
        <f>AND(#REF!,"AAAAAGv399w=")</f>
        <v>#REF!</v>
      </c>
      <c r="HN14" t="e">
        <f>AND(#REF!,"AAAAAGv3990=")</f>
        <v>#REF!</v>
      </c>
      <c r="HO14" t="e">
        <f>AND(#REF!,"AAAAAGv3994=")</f>
        <v>#REF!</v>
      </c>
      <c r="HP14" t="e">
        <f>AND(#REF!,"AAAAAGv3998=")</f>
        <v>#REF!</v>
      </c>
      <c r="HQ14" t="e">
        <f>AND(#REF!,"AAAAAGv39+A=")</f>
        <v>#REF!</v>
      </c>
      <c r="HR14" t="e">
        <f>AND(#REF!,"AAAAAGv39+E=")</f>
        <v>#REF!</v>
      </c>
      <c r="HS14" t="e">
        <f>AND(#REF!,"AAAAAGv39+I=")</f>
        <v>#REF!</v>
      </c>
      <c r="HT14" t="e">
        <f>AND(#REF!,"AAAAAGv39+M=")</f>
        <v>#REF!</v>
      </c>
      <c r="HU14" t="e">
        <f>AND(#REF!,"AAAAAGv39+Q=")</f>
        <v>#REF!</v>
      </c>
      <c r="HV14" t="e">
        <f>AND(#REF!,"AAAAAGv39+U=")</f>
        <v>#REF!</v>
      </c>
      <c r="HW14" t="e">
        <f>AND(#REF!,"AAAAAGv39+Y=")</f>
        <v>#REF!</v>
      </c>
      <c r="HX14" t="e">
        <f>AND(#REF!,"AAAAAGv39+c=")</f>
        <v>#REF!</v>
      </c>
      <c r="HY14" t="e">
        <f>IF(#REF!,"AAAAAGv39+g=",0)</f>
        <v>#REF!</v>
      </c>
      <c r="HZ14" t="e">
        <f>AND(#REF!,"AAAAAGv39+k=")</f>
        <v>#REF!</v>
      </c>
      <c r="IA14" t="e">
        <f>AND(#REF!,"AAAAAGv39+o=")</f>
        <v>#REF!</v>
      </c>
      <c r="IB14" t="e">
        <f>AND(#REF!,"AAAAAGv39+s=")</f>
        <v>#REF!</v>
      </c>
      <c r="IC14" t="e">
        <f>AND(#REF!,"AAAAAGv39+w=")</f>
        <v>#REF!</v>
      </c>
      <c r="ID14" t="e">
        <f>AND(#REF!,"AAAAAGv39+0=")</f>
        <v>#REF!</v>
      </c>
      <c r="IE14" t="e">
        <f>AND(#REF!,"AAAAAGv39+4=")</f>
        <v>#REF!</v>
      </c>
      <c r="IF14" t="e">
        <f>AND(#REF!,"AAAAAGv39+8=")</f>
        <v>#REF!</v>
      </c>
      <c r="IG14" t="e">
        <f>AND(#REF!,"AAAAAGv39/A=")</f>
        <v>#REF!</v>
      </c>
      <c r="IH14" t="e">
        <f>AND(#REF!,"AAAAAGv39/E=")</f>
        <v>#REF!</v>
      </c>
      <c r="II14" t="e">
        <f>AND(#REF!,"AAAAAGv39/I=")</f>
        <v>#REF!</v>
      </c>
      <c r="IJ14" t="e">
        <f>AND(#REF!,"AAAAAGv39/M=")</f>
        <v>#REF!</v>
      </c>
      <c r="IK14" t="e">
        <f>AND(#REF!,"AAAAAGv39/Q=")</f>
        <v>#REF!</v>
      </c>
      <c r="IL14" t="e">
        <f>AND(#REF!,"AAAAAGv39/U=")</f>
        <v>#REF!</v>
      </c>
      <c r="IM14" t="e">
        <f>AND(#REF!,"AAAAAGv39/Y=")</f>
        <v>#REF!</v>
      </c>
      <c r="IN14" t="e">
        <f>AND(#REF!,"AAAAAGv39/c=")</f>
        <v>#REF!</v>
      </c>
      <c r="IO14" t="e">
        <f>AND(#REF!,"AAAAAGv39/g=")</f>
        <v>#REF!</v>
      </c>
      <c r="IP14" t="e">
        <f>AND(#REF!,"AAAAAGv39/k=")</f>
        <v>#REF!</v>
      </c>
      <c r="IQ14" t="e">
        <f>AND(#REF!,"AAAAAGv39/o=")</f>
        <v>#REF!</v>
      </c>
      <c r="IR14" t="e">
        <f>AND(#REF!,"AAAAAGv39/s=")</f>
        <v>#REF!</v>
      </c>
      <c r="IS14" t="e">
        <f>IF(#REF!,"AAAAAGv39/w=",0)</f>
        <v>#REF!</v>
      </c>
      <c r="IT14" t="e">
        <f>AND(#REF!,"AAAAAGv39/0=")</f>
        <v>#REF!</v>
      </c>
      <c r="IU14" t="e">
        <f>AND(#REF!,"AAAAAGv39/4=")</f>
        <v>#REF!</v>
      </c>
      <c r="IV14" t="e">
        <f>AND(#REF!,"AAAAAGv39/8=")</f>
        <v>#REF!</v>
      </c>
    </row>
    <row r="15" spans="1:256" x14ac:dyDescent="0.15">
      <c r="A15" t="e">
        <f>AND(#REF!,"AAAAAHax/wA=")</f>
        <v>#REF!</v>
      </c>
      <c r="B15" t="e">
        <f>AND(#REF!,"AAAAAHax/wE=")</f>
        <v>#REF!</v>
      </c>
      <c r="C15" t="e">
        <f>AND(#REF!,"AAAAAHax/wI=")</f>
        <v>#REF!</v>
      </c>
      <c r="D15" t="e">
        <f>AND(#REF!,"AAAAAHax/wM=")</f>
        <v>#REF!</v>
      </c>
      <c r="E15" t="e">
        <f>AND(#REF!,"AAAAAHax/wQ=")</f>
        <v>#REF!</v>
      </c>
      <c r="F15" t="e">
        <f>AND(#REF!,"AAAAAHax/wU=")</f>
        <v>#REF!</v>
      </c>
      <c r="G15" t="e">
        <f>AND(#REF!,"AAAAAHax/wY=")</f>
        <v>#REF!</v>
      </c>
      <c r="H15" t="e">
        <f>AND(#REF!,"AAAAAHax/wc=")</f>
        <v>#REF!</v>
      </c>
      <c r="I15" t="e">
        <f>AND(#REF!,"AAAAAHax/wg=")</f>
        <v>#REF!</v>
      </c>
      <c r="J15" t="e">
        <f>AND(#REF!,"AAAAAHax/wk=")</f>
        <v>#REF!</v>
      </c>
      <c r="K15" t="e">
        <f>AND(#REF!,"AAAAAHax/wo=")</f>
        <v>#REF!</v>
      </c>
      <c r="L15" t="e">
        <f>AND(#REF!,"AAAAAHax/ws=")</f>
        <v>#REF!</v>
      </c>
      <c r="M15" t="e">
        <f>AND(#REF!,"AAAAAHax/ww=")</f>
        <v>#REF!</v>
      </c>
      <c r="N15" t="e">
        <f>AND(#REF!,"AAAAAHax/w0=")</f>
        <v>#REF!</v>
      </c>
      <c r="O15" t="e">
        <f>AND(#REF!,"AAAAAHax/w4=")</f>
        <v>#REF!</v>
      </c>
      <c r="P15" t="e">
        <f>AND(#REF!,"AAAAAHax/w8=")</f>
        <v>#REF!</v>
      </c>
      <c r="Q15" t="e">
        <f>IF(#REF!,"AAAAAHax/xA=",0)</f>
        <v>#REF!</v>
      </c>
      <c r="R15" t="e">
        <f>AND(#REF!,"AAAAAHax/xE=")</f>
        <v>#REF!</v>
      </c>
      <c r="S15" t="e">
        <f>AND(#REF!,"AAAAAHax/xI=")</f>
        <v>#REF!</v>
      </c>
      <c r="T15" t="e">
        <f>AND(#REF!,"AAAAAHax/xM=")</f>
        <v>#REF!</v>
      </c>
      <c r="U15" t="e">
        <f>AND(#REF!,"AAAAAHax/xQ=")</f>
        <v>#REF!</v>
      </c>
      <c r="V15" t="e">
        <f>AND(#REF!,"AAAAAHax/xU=")</f>
        <v>#REF!</v>
      </c>
      <c r="W15" t="e">
        <f>AND(#REF!,"AAAAAHax/xY=")</f>
        <v>#REF!</v>
      </c>
      <c r="X15" t="e">
        <f>AND(#REF!,"AAAAAHax/xc=")</f>
        <v>#REF!</v>
      </c>
      <c r="Y15" t="e">
        <f>AND(#REF!,"AAAAAHax/xg=")</f>
        <v>#REF!</v>
      </c>
      <c r="Z15" t="e">
        <f>AND(#REF!,"AAAAAHax/xk=")</f>
        <v>#REF!</v>
      </c>
      <c r="AA15" t="e">
        <f>AND(#REF!,"AAAAAHax/xo=")</f>
        <v>#REF!</v>
      </c>
      <c r="AB15" t="e">
        <f>AND(#REF!,"AAAAAHax/xs=")</f>
        <v>#REF!</v>
      </c>
      <c r="AC15" t="e">
        <f>AND(#REF!,"AAAAAHax/xw=")</f>
        <v>#REF!</v>
      </c>
      <c r="AD15" t="e">
        <f>AND(#REF!,"AAAAAHax/x0=")</f>
        <v>#REF!</v>
      </c>
      <c r="AE15" t="e">
        <f>AND(#REF!,"AAAAAHax/x4=")</f>
        <v>#REF!</v>
      </c>
      <c r="AF15" t="e">
        <f>AND(#REF!,"AAAAAHax/x8=")</f>
        <v>#REF!</v>
      </c>
      <c r="AG15" t="e">
        <f>AND(#REF!,"AAAAAHax/yA=")</f>
        <v>#REF!</v>
      </c>
      <c r="AH15" t="e">
        <f>AND(#REF!,"AAAAAHax/yE=")</f>
        <v>#REF!</v>
      </c>
      <c r="AI15" t="e">
        <f>AND(#REF!,"AAAAAHax/yI=")</f>
        <v>#REF!</v>
      </c>
      <c r="AJ15" t="e">
        <f>AND(#REF!,"AAAAAHax/yM=")</f>
        <v>#REF!</v>
      </c>
      <c r="AK15" t="e">
        <f>IF(#REF!,"AAAAAHax/yQ=",0)</f>
        <v>#REF!</v>
      </c>
      <c r="AL15" t="e">
        <f>AND(#REF!,"AAAAAHax/yU=")</f>
        <v>#REF!</v>
      </c>
      <c r="AM15" t="e">
        <f>AND(#REF!,"AAAAAHax/yY=")</f>
        <v>#REF!</v>
      </c>
      <c r="AN15" t="e">
        <f>AND(#REF!,"AAAAAHax/yc=")</f>
        <v>#REF!</v>
      </c>
      <c r="AO15" t="e">
        <f>AND(#REF!,"AAAAAHax/yg=")</f>
        <v>#REF!</v>
      </c>
      <c r="AP15" t="e">
        <f>AND(#REF!,"AAAAAHax/yk=")</f>
        <v>#REF!</v>
      </c>
      <c r="AQ15" t="e">
        <f>AND(#REF!,"AAAAAHax/yo=")</f>
        <v>#REF!</v>
      </c>
      <c r="AR15" t="e">
        <f>AND(#REF!,"AAAAAHax/ys=")</f>
        <v>#REF!</v>
      </c>
      <c r="AS15" t="e">
        <f>AND(#REF!,"AAAAAHax/yw=")</f>
        <v>#REF!</v>
      </c>
      <c r="AT15" t="e">
        <f>AND(#REF!,"AAAAAHax/y0=")</f>
        <v>#REF!</v>
      </c>
      <c r="AU15" t="e">
        <f>AND(#REF!,"AAAAAHax/y4=")</f>
        <v>#REF!</v>
      </c>
      <c r="AV15" t="e">
        <f>AND(#REF!,"AAAAAHax/y8=")</f>
        <v>#REF!</v>
      </c>
      <c r="AW15" t="e">
        <f>AND(#REF!,"AAAAAHax/zA=")</f>
        <v>#REF!</v>
      </c>
      <c r="AX15" t="e">
        <f>AND(#REF!,"AAAAAHax/zE=")</f>
        <v>#REF!</v>
      </c>
      <c r="AY15" t="e">
        <f>AND(#REF!,"AAAAAHax/zI=")</f>
        <v>#REF!</v>
      </c>
      <c r="AZ15" t="e">
        <f>AND(#REF!,"AAAAAHax/zM=")</f>
        <v>#REF!</v>
      </c>
      <c r="BA15" t="e">
        <f>AND(#REF!,"AAAAAHax/zQ=")</f>
        <v>#REF!</v>
      </c>
      <c r="BB15" t="e">
        <f>AND(#REF!,"AAAAAHax/zU=")</f>
        <v>#REF!</v>
      </c>
      <c r="BC15" t="e">
        <f>AND(#REF!,"AAAAAHax/zY=")</f>
        <v>#REF!</v>
      </c>
      <c r="BD15" t="e">
        <f>AND(#REF!,"AAAAAHax/zc=")</f>
        <v>#REF!</v>
      </c>
      <c r="BE15" t="e">
        <f>IF(#REF!,"AAAAAHax/zg=",0)</f>
        <v>#REF!</v>
      </c>
      <c r="BF15" t="e">
        <f>AND(#REF!,"AAAAAHax/zk=")</f>
        <v>#REF!</v>
      </c>
      <c r="BG15" t="e">
        <f>AND(#REF!,"AAAAAHax/zo=")</f>
        <v>#REF!</v>
      </c>
      <c r="BH15" t="e">
        <f>AND(#REF!,"AAAAAHax/zs=")</f>
        <v>#REF!</v>
      </c>
      <c r="BI15" t="e">
        <f>AND(#REF!,"AAAAAHax/zw=")</f>
        <v>#REF!</v>
      </c>
      <c r="BJ15" t="e">
        <f>AND(#REF!,"AAAAAHax/z0=")</f>
        <v>#REF!</v>
      </c>
      <c r="BK15" t="e">
        <f>AND(#REF!,"AAAAAHax/z4=")</f>
        <v>#REF!</v>
      </c>
      <c r="BL15" t="e">
        <f>AND(#REF!,"AAAAAHax/z8=")</f>
        <v>#REF!</v>
      </c>
      <c r="BM15" t="e">
        <f>AND(#REF!,"AAAAAHax/0A=")</f>
        <v>#REF!</v>
      </c>
      <c r="BN15" t="e">
        <f>AND(#REF!,"AAAAAHax/0E=")</f>
        <v>#REF!</v>
      </c>
      <c r="BO15" t="e">
        <f>AND(#REF!,"AAAAAHax/0I=")</f>
        <v>#REF!</v>
      </c>
      <c r="BP15" t="e">
        <f>AND(#REF!,"AAAAAHax/0M=")</f>
        <v>#REF!</v>
      </c>
      <c r="BQ15" t="e">
        <f>AND(#REF!,"AAAAAHax/0Q=")</f>
        <v>#REF!</v>
      </c>
      <c r="BR15" t="e">
        <f>AND(#REF!,"AAAAAHax/0U=")</f>
        <v>#REF!</v>
      </c>
      <c r="BS15" t="e">
        <f>AND(#REF!,"AAAAAHax/0Y=")</f>
        <v>#REF!</v>
      </c>
      <c r="BT15" t="e">
        <f>AND(#REF!,"AAAAAHax/0c=")</f>
        <v>#REF!</v>
      </c>
      <c r="BU15" t="e">
        <f>AND(#REF!,"AAAAAHax/0g=")</f>
        <v>#REF!</v>
      </c>
      <c r="BV15" t="e">
        <f>AND(#REF!,"AAAAAHax/0k=")</f>
        <v>#REF!</v>
      </c>
      <c r="BW15" t="e">
        <f>AND(#REF!,"AAAAAHax/0o=")</f>
        <v>#REF!</v>
      </c>
      <c r="BX15" t="e">
        <f>AND(#REF!,"AAAAAHax/0s=")</f>
        <v>#REF!</v>
      </c>
      <c r="BY15" t="e">
        <f>IF(#REF!,"AAAAAHax/0w=",0)</f>
        <v>#REF!</v>
      </c>
      <c r="BZ15" t="e">
        <f>AND(#REF!,"AAAAAHax/00=")</f>
        <v>#REF!</v>
      </c>
      <c r="CA15" t="e">
        <f>AND(#REF!,"AAAAAHax/04=")</f>
        <v>#REF!</v>
      </c>
      <c r="CB15" t="e">
        <f>AND(#REF!,"AAAAAHax/08=")</f>
        <v>#REF!</v>
      </c>
      <c r="CC15" t="e">
        <f>AND(#REF!,"AAAAAHax/1A=")</f>
        <v>#REF!</v>
      </c>
      <c r="CD15" t="e">
        <f>AND(#REF!,"AAAAAHax/1E=")</f>
        <v>#REF!</v>
      </c>
      <c r="CE15" t="e">
        <f>AND(#REF!,"AAAAAHax/1I=")</f>
        <v>#REF!</v>
      </c>
      <c r="CF15" t="e">
        <f>AND(#REF!,"AAAAAHax/1M=")</f>
        <v>#REF!</v>
      </c>
      <c r="CG15" t="e">
        <f>AND(#REF!,"AAAAAHax/1Q=")</f>
        <v>#REF!</v>
      </c>
      <c r="CH15" t="e">
        <f>AND(#REF!,"AAAAAHax/1U=")</f>
        <v>#REF!</v>
      </c>
      <c r="CI15" t="e">
        <f>AND(#REF!,"AAAAAHax/1Y=")</f>
        <v>#REF!</v>
      </c>
      <c r="CJ15" t="e">
        <f>AND(#REF!,"AAAAAHax/1c=")</f>
        <v>#REF!</v>
      </c>
      <c r="CK15" t="e">
        <f>AND(#REF!,"AAAAAHax/1g=")</f>
        <v>#REF!</v>
      </c>
      <c r="CL15" t="e">
        <f>AND(#REF!,"AAAAAHax/1k=")</f>
        <v>#REF!</v>
      </c>
      <c r="CM15" t="e">
        <f>AND(#REF!,"AAAAAHax/1o=")</f>
        <v>#REF!</v>
      </c>
      <c r="CN15" t="e">
        <f>AND(#REF!,"AAAAAHax/1s=")</f>
        <v>#REF!</v>
      </c>
      <c r="CO15" t="e">
        <f>AND(#REF!,"AAAAAHax/1w=")</f>
        <v>#REF!</v>
      </c>
      <c r="CP15" t="e">
        <f>AND(#REF!,"AAAAAHax/10=")</f>
        <v>#REF!</v>
      </c>
      <c r="CQ15" t="e">
        <f>AND(#REF!,"AAAAAHax/14=")</f>
        <v>#REF!</v>
      </c>
      <c r="CR15" t="e">
        <f>AND(#REF!,"AAAAAHax/18=")</f>
        <v>#REF!</v>
      </c>
      <c r="CS15" t="e">
        <f>IF(#REF!,"AAAAAHax/2A=",0)</f>
        <v>#REF!</v>
      </c>
      <c r="CT15" t="e">
        <f>AND(#REF!,"AAAAAHax/2E=")</f>
        <v>#REF!</v>
      </c>
      <c r="CU15" t="e">
        <f>AND(#REF!,"AAAAAHax/2I=")</f>
        <v>#REF!</v>
      </c>
      <c r="CV15" t="e">
        <f>AND(#REF!,"AAAAAHax/2M=")</f>
        <v>#REF!</v>
      </c>
      <c r="CW15" t="e">
        <f>AND(#REF!,"AAAAAHax/2Q=")</f>
        <v>#REF!</v>
      </c>
      <c r="CX15" t="e">
        <f>AND(#REF!,"AAAAAHax/2U=")</f>
        <v>#REF!</v>
      </c>
      <c r="CY15" t="e">
        <f>AND(#REF!,"AAAAAHax/2Y=")</f>
        <v>#REF!</v>
      </c>
      <c r="CZ15" t="e">
        <f>AND(#REF!,"AAAAAHax/2c=")</f>
        <v>#REF!</v>
      </c>
      <c r="DA15" t="e">
        <f>AND(#REF!,"AAAAAHax/2g=")</f>
        <v>#REF!</v>
      </c>
      <c r="DB15" t="e">
        <f>AND(#REF!,"AAAAAHax/2k=")</f>
        <v>#REF!</v>
      </c>
      <c r="DC15" t="e">
        <f>AND(#REF!,"AAAAAHax/2o=")</f>
        <v>#REF!</v>
      </c>
      <c r="DD15" t="e">
        <f>AND(#REF!,"AAAAAHax/2s=")</f>
        <v>#REF!</v>
      </c>
      <c r="DE15" t="e">
        <f>AND(#REF!,"AAAAAHax/2w=")</f>
        <v>#REF!</v>
      </c>
      <c r="DF15" t="e">
        <f>AND(#REF!,"AAAAAHax/20=")</f>
        <v>#REF!</v>
      </c>
      <c r="DG15" t="e">
        <f>AND(#REF!,"AAAAAHax/24=")</f>
        <v>#REF!</v>
      </c>
      <c r="DH15" t="e">
        <f>AND(#REF!,"AAAAAHax/28=")</f>
        <v>#REF!</v>
      </c>
      <c r="DI15" t="e">
        <f>AND(#REF!,"AAAAAHax/3A=")</f>
        <v>#REF!</v>
      </c>
      <c r="DJ15" t="e">
        <f>AND(#REF!,"AAAAAHax/3E=")</f>
        <v>#REF!</v>
      </c>
      <c r="DK15" t="e">
        <f>AND(#REF!,"AAAAAHax/3I=")</f>
        <v>#REF!</v>
      </c>
      <c r="DL15" t="e">
        <f>AND(#REF!,"AAAAAHax/3M=")</f>
        <v>#REF!</v>
      </c>
      <c r="DM15" t="e">
        <f>IF(#REF!,"AAAAAHax/3Q=",0)</f>
        <v>#REF!</v>
      </c>
      <c r="DN15" t="e">
        <f>AND(#REF!,"AAAAAHax/3U=")</f>
        <v>#REF!</v>
      </c>
      <c r="DO15" t="e">
        <f>AND(#REF!,"AAAAAHax/3Y=")</f>
        <v>#REF!</v>
      </c>
      <c r="DP15" t="e">
        <f>AND(#REF!,"AAAAAHax/3c=")</f>
        <v>#REF!</v>
      </c>
      <c r="DQ15" t="e">
        <f>AND(#REF!,"AAAAAHax/3g=")</f>
        <v>#REF!</v>
      </c>
      <c r="DR15" t="e">
        <f>AND(#REF!,"AAAAAHax/3k=")</f>
        <v>#REF!</v>
      </c>
      <c r="DS15" t="e">
        <f>AND(#REF!,"AAAAAHax/3o=")</f>
        <v>#REF!</v>
      </c>
      <c r="DT15" t="e">
        <f>AND(#REF!,"AAAAAHax/3s=")</f>
        <v>#REF!</v>
      </c>
      <c r="DU15" t="e">
        <f>AND(#REF!,"AAAAAHax/3w=")</f>
        <v>#REF!</v>
      </c>
      <c r="DV15" t="e">
        <f>AND(#REF!,"AAAAAHax/30=")</f>
        <v>#REF!</v>
      </c>
      <c r="DW15" t="e">
        <f>AND(#REF!,"AAAAAHax/34=")</f>
        <v>#REF!</v>
      </c>
      <c r="DX15" t="e">
        <f>AND(#REF!,"AAAAAHax/38=")</f>
        <v>#REF!</v>
      </c>
      <c r="DY15" t="e">
        <f>AND(#REF!,"AAAAAHax/4A=")</f>
        <v>#REF!</v>
      </c>
      <c r="DZ15" t="e">
        <f>AND(#REF!,"AAAAAHax/4E=")</f>
        <v>#REF!</v>
      </c>
      <c r="EA15" t="e">
        <f>AND(#REF!,"AAAAAHax/4I=")</f>
        <v>#REF!</v>
      </c>
      <c r="EB15" t="e">
        <f>AND(#REF!,"AAAAAHax/4M=")</f>
        <v>#REF!</v>
      </c>
      <c r="EC15" t="e">
        <f>AND(#REF!,"AAAAAHax/4Q=")</f>
        <v>#REF!</v>
      </c>
      <c r="ED15" t="e">
        <f>AND(#REF!,"AAAAAHax/4U=")</f>
        <v>#REF!</v>
      </c>
      <c r="EE15" t="e">
        <f>AND(#REF!,"AAAAAHax/4Y=")</f>
        <v>#REF!</v>
      </c>
      <c r="EF15" t="e">
        <f>AND(#REF!,"AAAAAHax/4c=")</f>
        <v>#REF!</v>
      </c>
      <c r="EG15" t="e">
        <f>IF(#REF!,"AAAAAHax/4g=",0)</f>
        <v>#REF!</v>
      </c>
      <c r="EH15" t="e">
        <f>AND(#REF!,"AAAAAHax/4k=")</f>
        <v>#REF!</v>
      </c>
      <c r="EI15" t="e">
        <f>AND(#REF!,"AAAAAHax/4o=")</f>
        <v>#REF!</v>
      </c>
      <c r="EJ15" t="e">
        <f>AND(#REF!,"AAAAAHax/4s=")</f>
        <v>#REF!</v>
      </c>
      <c r="EK15" t="e">
        <f>AND(#REF!,"AAAAAHax/4w=")</f>
        <v>#REF!</v>
      </c>
      <c r="EL15" t="e">
        <f>AND(#REF!,"AAAAAHax/40=")</f>
        <v>#REF!</v>
      </c>
      <c r="EM15" t="e">
        <f>AND(#REF!,"AAAAAHax/44=")</f>
        <v>#REF!</v>
      </c>
      <c r="EN15" t="e">
        <f>AND(#REF!,"AAAAAHax/48=")</f>
        <v>#REF!</v>
      </c>
      <c r="EO15" t="e">
        <f>AND(#REF!,"AAAAAHax/5A=")</f>
        <v>#REF!</v>
      </c>
      <c r="EP15" t="e">
        <f>AND(#REF!,"AAAAAHax/5E=")</f>
        <v>#REF!</v>
      </c>
      <c r="EQ15" t="e">
        <f>AND(#REF!,"AAAAAHax/5I=")</f>
        <v>#REF!</v>
      </c>
      <c r="ER15" t="e">
        <f>AND(#REF!,"AAAAAHax/5M=")</f>
        <v>#REF!</v>
      </c>
      <c r="ES15" t="e">
        <f>AND(#REF!,"AAAAAHax/5Q=")</f>
        <v>#REF!</v>
      </c>
      <c r="ET15" t="e">
        <f>AND(#REF!,"AAAAAHax/5U=")</f>
        <v>#REF!</v>
      </c>
      <c r="EU15" t="e">
        <f>AND(#REF!,"AAAAAHax/5Y=")</f>
        <v>#REF!</v>
      </c>
      <c r="EV15" t="e">
        <f>AND(#REF!,"AAAAAHax/5c=")</f>
        <v>#REF!</v>
      </c>
      <c r="EW15" t="e">
        <f>AND(#REF!,"AAAAAHax/5g=")</f>
        <v>#REF!</v>
      </c>
      <c r="EX15" t="e">
        <f>AND(#REF!,"AAAAAHax/5k=")</f>
        <v>#REF!</v>
      </c>
      <c r="EY15" t="e">
        <f>AND(#REF!,"AAAAAHax/5o=")</f>
        <v>#REF!</v>
      </c>
      <c r="EZ15" t="e">
        <f>AND(#REF!,"AAAAAHax/5s=")</f>
        <v>#REF!</v>
      </c>
      <c r="FA15" t="e">
        <f>IF(#REF!,"AAAAAHax/5w=",0)</f>
        <v>#REF!</v>
      </c>
      <c r="FB15" t="e">
        <f>AND(#REF!,"AAAAAHax/50=")</f>
        <v>#REF!</v>
      </c>
      <c r="FC15" t="e">
        <f>AND(#REF!,"AAAAAHax/54=")</f>
        <v>#REF!</v>
      </c>
      <c r="FD15" t="e">
        <f>AND(#REF!,"AAAAAHax/58=")</f>
        <v>#REF!</v>
      </c>
      <c r="FE15" t="e">
        <f>AND(#REF!,"AAAAAHax/6A=")</f>
        <v>#REF!</v>
      </c>
      <c r="FF15" t="e">
        <f>AND(#REF!,"AAAAAHax/6E=")</f>
        <v>#REF!</v>
      </c>
      <c r="FG15" t="e">
        <f>AND(#REF!,"AAAAAHax/6I=")</f>
        <v>#REF!</v>
      </c>
      <c r="FH15" t="e">
        <f>AND(#REF!,"AAAAAHax/6M=")</f>
        <v>#REF!</v>
      </c>
      <c r="FI15" t="e">
        <f>AND(#REF!,"AAAAAHax/6Q=")</f>
        <v>#REF!</v>
      </c>
      <c r="FJ15" t="e">
        <f>AND(#REF!,"AAAAAHax/6U=")</f>
        <v>#REF!</v>
      </c>
      <c r="FK15" t="e">
        <f>AND(#REF!,"AAAAAHax/6Y=")</f>
        <v>#REF!</v>
      </c>
      <c r="FL15" t="e">
        <f>AND(#REF!,"AAAAAHax/6c=")</f>
        <v>#REF!</v>
      </c>
      <c r="FM15" t="e">
        <f>AND(#REF!,"AAAAAHax/6g=")</f>
        <v>#REF!</v>
      </c>
      <c r="FN15" t="e">
        <f>AND(#REF!,"AAAAAHax/6k=")</f>
        <v>#REF!</v>
      </c>
      <c r="FO15" t="e">
        <f>AND(#REF!,"AAAAAHax/6o=")</f>
        <v>#REF!</v>
      </c>
      <c r="FP15" t="e">
        <f>AND(#REF!,"AAAAAHax/6s=")</f>
        <v>#REF!</v>
      </c>
      <c r="FQ15" t="e">
        <f>AND(#REF!,"AAAAAHax/6w=")</f>
        <v>#REF!</v>
      </c>
      <c r="FR15" t="e">
        <f>AND(#REF!,"AAAAAHax/60=")</f>
        <v>#REF!</v>
      </c>
      <c r="FS15" t="e">
        <f>AND(#REF!,"AAAAAHax/64=")</f>
        <v>#REF!</v>
      </c>
      <c r="FT15" t="e">
        <f>AND(#REF!,"AAAAAHax/68=")</f>
        <v>#REF!</v>
      </c>
      <c r="FU15" t="e">
        <f>IF(#REF!,"AAAAAHax/7A=",0)</f>
        <v>#REF!</v>
      </c>
      <c r="FV15" t="e">
        <f>AND(#REF!,"AAAAAHax/7E=")</f>
        <v>#REF!</v>
      </c>
      <c r="FW15" t="e">
        <f>AND(#REF!,"AAAAAHax/7I=")</f>
        <v>#REF!</v>
      </c>
      <c r="FX15" t="e">
        <f>AND(#REF!,"AAAAAHax/7M=")</f>
        <v>#REF!</v>
      </c>
      <c r="FY15" t="e">
        <f>AND(#REF!,"AAAAAHax/7Q=")</f>
        <v>#REF!</v>
      </c>
      <c r="FZ15" t="e">
        <f>AND(#REF!,"AAAAAHax/7U=")</f>
        <v>#REF!</v>
      </c>
      <c r="GA15" t="e">
        <f>AND(#REF!,"AAAAAHax/7Y=")</f>
        <v>#REF!</v>
      </c>
      <c r="GB15" t="e">
        <f>AND(#REF!,"AAAAAHax/7c=")</f>
        <v>#REF!</v>
      </c>
      <c r="GC15" t="e">
        <f>AND(#REF!,"AAAAAHax/7g=")</f>
        <v>#REF!</v>
      </c>
      <c r="GD15" t="e">
        <f>AND(#REF!,"AAAAAHax/7k=")</f>
        <v>#REF!</v>
      </c>
      <c r="GE15" t="e">
        <f>AND(#REF!,"AAAAAHax/7o=")</f>
        <v>#REF!</v>
      </c>
      <c r="GF15" t="e">
        <f>AND(#REF!,"AAAAAHax/7s=")</f>
        <v>#REF!</v>
      </c>
      <c r="GG15" t="e">
        <f>AND(#REF!,"AAAAAHax/7w=")</f>
        <v>#REF!</v>
      </c>
      <c r="GH15" t="e">
        <f>AND(#REF!,"AAAAAHax/70=")</f>
        <v>#REF!</v>
      </c>
      <c r="GI15" t="e">
        <f>AND(#REF!,"AAAAAHax/74=")</f>
        <v>#REF!</v>
      </c>
      <c r="GJ15" t="e">
        <f>AND(#REF!,"AAAAAHax/78=")</f>
        <v>#REF!</v>
      </c>
      <c r="GK15" t="e">
        <f>AND(#REF!,"AAAAAHax/8A=")</f>
        <v>#REF!</v>
      </c>
      <c r="GL15" t="e">
        <f>AND(#REF!,"AAAAAHax/8E=")</f>
        <v>#REF!</v>
      </c>
      <c r="GM15" t="e">
        <f>AND(#REF!,"AAAAAHax/8I=")</f>
        <v>#REF!</v>
      </c>
      <c r="GN15" t="e">
        <f>AND(#REF!,"AAAAAHax/8M=")</f>
        <v>#REF!</v>
      </c>
      <c r="GO15" t="e">
        <f>IF(#REF!,"AAAAAHax/8Q=",0)</f>
        <v>#REF!</v>
      </c>
      <c r="GP15" t="e">
        <f>AND(#REF!,"AAAAAHax/8U=")</f>
        <v>#REF!</v>
      </c>
      <c r="GQ15" t="e">
        <f>AND(#REF!,"AAAAAHax/8Y=")</f>
        <v>#REF!</v>
      </c>
      <c r="GR15" t="e">
        <f>AND(#REF!,"AAAAAHax/8c=")</f>
        <v>#REF!</v>
      </c>
      <c r="GS15" t="e">
        <f>AND(#REF!,"AAAAAHax/8g=")</f>
        <v>#REF!</v>
      </c>
      <c r="GT15" t="e">
        <f>AND(#REF!,"AAAAAHax/8k=")</f>
        <v>#REF!</v>
      </c>
      <c r="GU15" t="e">
        <f>AND(#REF!,"AAAAAHax/8o=")</f>
        <v>#REF!</v>
      </c>
      <c r="GV15" t="e">
        <f>AND(#REF!,"AAAAAHax/8s=")</f>
        <v>#REF!</v>
      </c>
      <c r="GW15" t="e">
        <f>AND(#REF!,"AAAAAHax/8w=")</f>
        <v>#REF!</v>
      </c>
      <c r="GX15" t="e">
        <f>AND(#REF!,"AAAAAHax/80=")</f>
        <v>#REF!</v>
      </c>
      <c r="GY15" t="e">
        <f>AND(#REF!,"AAAAAHax/84=")</f>
        <v>#REF!</v>
      </c>
      <c r="GZ15" t="e">
        <f>AND(#REF!,"AAAAAHax/88=")</f>
        <v>#REF!</v>
      </c>
      <c r="HA15" t="e">
        <f>AND(#REF!,"AAAAAHax/9A=")</f>
        <v>#REF!</v>
      </c>
      <c r="HB15" t="e">
        <f>AND(#REF!,"AAAAAHax/9E=")</f>
        <v>#REF!</v>
      </c>
      <c r="HC15" t="e">
        <f>AND(#REF!,"AAAAAHax/9I=")</f>
        <v>#REF!</v>
      </c>
      <c r="HD15" t="e">
        <f>AND(#REF!,"AAAAAHax/9M=")</f>
        <v>#REF!</v>
      </c>
      <c r="HE15" t="e">
        <f>AND(#REF!,"AAAAAHax/9Q=")</f>
        <v>#REF!</v>
      </c>
      <c r="HF15" t="e">
        <f>AND(#REF!,"AAAAAHax/9U=")</f>
        <v>#REF!</v>
      </c>
      <c r="HG15" t="e">
        <f>AND(#REF!,"AAAAAHax/9Y=")</f>
        <v>#REF!</v>
      </c>
      <c r="HH15" t="e">
        <f>AND(#REF!,"AAAAAHax/9c=")</f>
        <v>#REF!</v>
      </c>
      <c r="HI15" t="e">
        <f>IF(#REF!,"AAAAAHax/9g=",0)</f>
        <v>#REF!</v>
      </c>
      <c r="HJ15" t="e">
        <f>AND(#REF!,"AAAAAHax/9k=")</f>
        <v>#REF!</v>
      </c>
      <c r="HK15" t="e">
        <f>AND(#REF!,"AAAAAHax/9o=")</f>
        <v>#REF!</v>
      </c>
      <c r="HL15" t="e">
        <f>AND(#REF!,"AAAAAHax/9s=")</f>
        <v>#REF!</v>
      </c>
      <c r="HM15" t="e">
        <f>AND(#REF!,"AAAAAHax/9w=")</f>
        <v>#REF!</v>
      </c>
      <c r="HN15" t="e">
        <f>AND(#REF!,"AAAAAHax/90=")</f>
        <v>#REF!</v>
      </c>
      <c r="HO15" t="e">
        <f>AND(#REF!,"AAAAAHax/94=")</f>
        <v>#REF!</v>
      </c>
      <c r="HP15" t="e">
        <f>AND(#REF!,"AAAAAHax/98=")</f>
        <v>#REF!</v>
      </c>
      <c r="HQ15" t="e">
        <f>AND(#REF!,"AAAAAHax/+A=")</f>
        <v>#REF!</v>
      </c>
      <c r="HR15" t="e">
        <f>AND(#REF!,"AAAAAHax/+E=")</f>
        <v>#REF!</v>
      </c>
      <c r="HS15" t="e">
        <f>AND(#REF!,"AAAAAHax/+I=")</f>
        <v>#REF!</v>
      </c>
      <c r="HT15" t="e">
        <f>AND(#REF!,"AAAAAHax/+M=")</f>
        <v>#REF!</v>
      </c>
      <c r="HU15" t="e">
        <f>AND(#REF!,"AAAAAHax/+Q=")</f>
        <v>#REF!</v>
      </c>
      <c r="HV15" t="e">
        <f>AND(#REF!,"AAAAAHax/+U=")</f>
        <v>#REF!</v>
      </c>
      <c r="HW15" t="e">
        <f>AND(#REF!,"AAAAAHax/+Y=")</f>
        <v>#REF!</v>
      </c>
      <c r="HX15" t="e">
        <f>AND(#REF!,"AAAAAHax/+c=")</f>
        <v>#REF!</v>
      </c>
      <c r="HY15" t="e">
        <f>AND(#REF!,"AAAAAHax/+g=")</f>
        <v>#REF!</v>
      </c>
      <c r="HZ15" t="e">
        <f>AND(#REF!,"AAAAAHax/+k=")</f>
        <v>#REF!</v>
      </c>
      <c r="IA15" t="e">
        <f>AND(#REF!,"AAAAAHax/+o=")</f>
        <v>#REF!</v>
      </c>
      <c r="IB15" t="e">
        <f>AND(#REF!,"AAAAAHax/+s=")</f>
        <v>#REF!</v>
      </c>
      <c r="IC15" t="e">
        <f>IF(#REF!,"AAAAAHax/+w=",0)</f>
        <v>#REF!</v>
      </c>
      <c r="ID15" t="e">
        <f>AND(#REF!,"AAAAAHax/+0=")</f>
        <v>#REF!</v>
      </c>
      <c r="IE15" t="e">
        <f>AND(#REF!,"AAAAAHax/+4=")</f>
        <v>#REF!</v>
      </c>
      <c r="IF15" t="e">
        <f>AND(#REF!,"AAAAAHax/+8=")</f>
        <v>#REF!</v>
      </c>
      <c r="IG15" t="e">
        <f>AND(#REF!,"AAAAAHax//A=")</f>
        <v>#REF!</v>
      </c>
      <c r="IH15" t="e">
        <f>AND(#REF!,"AAAAAHax//E=")</f>
        <v>#REF!</v>
      </c>
      <c r="II15" t="e">
        <f>AND(#REF!,"AAAAAHax//I=")</f>
        <v>#REF!</v>
      </c>
      <c r="IJ15" t="e">
        <f>AND(#REF!,"AAAAAHax//M=")</f>
        <v>#REF!</v>
      </c>
      <c r="IK15" t="e">
        <f>AND(#REF!,"AAAAAHax//Q=")</f>
        <v>#REF!</v>
      </c>
      <c r="IL15" t="e">
        <f>AND(#REF!,"AAAAAHax//U=")</f>
        <v>#REF!</v>
      </c>
      <c r="IM15" t="e">
        <f>AND(#REF!,"AAAAAHax//Y=")</f>
        <v>#REF!</v>
      </c>
      <c r="IN15" t="e">
        <f>AND(#REF!,"AAAAAHax//c=")</f>
        <v>#REF!</v>
      </c>
      <c r="IO15" t="e">
        <f>AND(#REF!,"AAAAAHax//g=")</f>
        <v>#REF!</v>
      </c>
      <c r="IP15" t="e">
        <f>AND(#REF!,"AAAAAHax//k=")</f>
        <v>#REF!</v>
      </c>
      <c r="IQ15" t="e">
        <f>AND(#REF!,"AAAAAHax//o=")</f>
        <v>#REF!</v>
      </c>
      <c r="IR15" t="e">
        <f>AND(#REF!,"AAAAAHax//s=")</f>
        <v>#REF!</v>
      </c>
      <c r="IS15" t="e">
        <f>AND(#REF!,"AAAAAHax//w=")</f>
        <v>#REF!</v>
      </c>
      <c r="IT15" t="e">
        <f>AND(#REF!,"AAAAAHax//0=")</f>
        <v>#REF!</v>
      </c>
      <c r="IU15" t="e">
        <f>AND(#REF!,"AAAAAHax//4=")</f>
        <v>#REF!</v>
      </c>
      <c r="IV15" t="e">
        <f>AND(#REF!,"AAAAAHax//8=")</f>
        <v>#REF!</v>
      </c>
    </row>
    <row r="16" spans="1:256" x14ac:dyDescent="0.15">
      <c r="A16" t="e">
        <f>IF(#REF!,"AAAAAF7f1QA=",0)</f>
        <v>#REF!</v>
      </c>
      <c r="B16" t="e">
        <f>AND(#REF!,"AAAAAF7f1QE=")</f>
        <v>#REF!</v>
      </c>
      <c r="C16" t="e">
        <f>AND(#REF!,"AAAAAF7f1QI=")</f>
        <v>#REF!</v>
      </c>
      <c r="D16" t="e">
        <f>AND(#REF!,"AAAAAF7f1QM=")</f>
        <v>#REF!</v>
      </c>
      <c r="E16" t="e">
        <f>AND(#REF!,"AAAAAF7f1QQ=")</f>
        <v>#REF!</v>
      </c>
      <c r="F16" t="e">
        <f>AND(#REF!,"AAAAAF7f1QU=")</f>
        <v>#REF!</v>
      </c>
      <c r="G16" t="e">
        <f>AND(#REF!,"AAAAAF7f1QY=")</f>
        <v>#REF!</v>
      </c>
      <c r="H16" t="e">
        <f>AND(#REF!,"AAAAAF7f1Qc=")</f>
        <v>#REF!</v>
      </c>
      <c r="I16" t="e">
        <f>AND(#REF!,"AAAAAF7f1Qg=")</f>
        <v>#REF!</v>
      </c>
      <c r="J16" t="e">
        <f>AND(#REF!,"AAAAAF7f1Qk=")</f>
        <v>#REF!</v>
      </c>
      <c r="K16" t="e">
        <f>AND(#REF!,"AAAAAF7f1Qo=")</f>
        <v>#REF!</v>
      </c>
      <c r="L16" t="e">
        <f>AND(#REF!,"AAAAAF7f1Qs=")</f>
        <v>#REF!</v>
      </c>
      <c r="M16" t="e">
        <f>AND(#REF!,"AAAAAF7f1Qw=")</f>
        <v>#REF!</v>
      </c>
      <c r="N16" t="e">
        <f>AND(#REF!,"AAAAAF7f1Q0=")</f>
        <v>#REF!</v>
      </c>
      <c r="O16" t="e">
        <f>AND(#REF!,"AAAAAF7f1Q4=")</f>
        <v>#REF!</v>
      </c>
      <c r="P16" t="e">
        <f>AND(#REF!,"AAAAAF7f1Q8=")</f>
        <v>#REF!</v>
      </c>
      <c r="Q16" t="e">
        <f>AND(#REF!,"AAAAAF7f1RA=")</f>
        <v>#REF!</v>
      </c>
      <c r="R16" t="e">
        <f>AND(#REF!,"AAAAAF7f1RE=")</f>
        <v>#REF!</v>
      </c>
      <c r="S16" t="e">
        <f>AND(#REF!,"AAAAAF7f1RI=")</f>
        <v>#REF!</v>
      </c>
      <c r="T16" t="e">
        <f>AND(#REF!,"AAAAAF7f1RM=")</f>
        <v>#REF!</v>
      </c>
      <c r="U16" t="e">
        <f>IF(#REF!,"AAAAAF7f1RQ=",0)</f>
        <v>#REF!</v>
      </c>
      <c r="V16" t="e">
        <f>AND(#REF!,"AAAAAF7f1RU=")</f>
        <v>#REF!</v>
      </c>
      <c r="W16" t="e">
        <f>AND(#REF!,"AAAAAF7f1RY=")</f>
        <v>#REF!</v>
      </c>
      <c r="X16" t="e">
        <f>AND(#REF!,"AAAAAF7f1Rc=")</f>
        <v>#REF!</v>
      </c>
      <c r="Y16" t="e">
        <f>AND(#REF!,"AAAAAF7f1Rg=")</f>
        <v>#REF!</v>
      </c>
      <c r="Z16" t="e">
        <f>AND(#REF!,"AAAAAF7f1Rk=")</f>
        <v>#REF!</v>
      </c>
      <c r="AA16" t="e">
        <f>AND(#REF!,"AAAAAF7f1Ro=")</f>
        <v>#REF!</v>
      </c>
      <c r="AB16" t="e">
        <f>AND(#REF!,"AAAAAF7f1Rs=")</f>
        <v>#REF!</v>
      </c>
      <c r="AC16" t="e">
        <f>AND(#REF!,"AAAAAF7f1Rw=")</f>
        <v>#REF!</v>
      </c>
      <c r="AD16" t="e">
        <f>AND(#REF!,"AAAAAF7f1R0=")</f>
        <v>#REF!</v>
      </c>
      <c r="AE16" t="e">
        <f>AND(#REF!,"AAAAAF7f1R4=")</f>
        <v>#REF!</v>
      </c>
      <c r="AF16" t="e">
        <f>AND(#REF!,"AAAAAF7f1R8=")</f>
        <v>#REF!</v>
      </c>
      <c r="AG16" t="e">
        <f>AND(#REF!,"AAAAAF7f1SA=")</f>
        <v>#REF!</v>
      </c>
      <c r="AH16" t="e">
        <f>AND(#REF!,"AAAAAF7f1SE=")</f>
        <v>#REF!</v>
      </c>
      <c r="AI16" t="e">
        <f>AND(#REF!,"AAAAAF7f1SI=")</f>
        <v>#REF!</v>
      </c>
      <c r="AJ16" t="e">
        <f>AND(#REF!,"AAAAAF7f1SM=")</f>
        <v>#REF!</v>
      </c>
      <c r="AK16" t="e">
        <f>AND(#REF!,"AAAAAF7f1SQ=")</f>
        <v>#REF!</v>
      </c>
      <c r="AL16" t="e">
        <f>AND(#REF!,"AAAAAF7f1SU=")</f>
        <v>#REF!</v>
      </c>
      <c r="AM16" t="e">
        <f>AND(#REF!,"AAAAAF7f1SY=")</f>
        <v>#REF!</v>
      </c>
      <c r="AN16" t="e">
        <f>AND(#REF!,"AAAAAF7f1Sc=")</f>
        <v>#REF!</v>
      </c>
      <c r="AO16" t="e">
        <f>IF(#REF!,"AAAAAF7f1Sg=",0)</f>
        <v>#REF!</v>
      </c>
      <c r="AP16" t="e">
        <f>AND(#REF!,"AAAAAF7f1Sk=")</f>
        <v>#REF!</v>
      </c>
      <c r="AQ16" t="e">
        <f>AND(#REF!,"AAAAAF7f1So=")</f>
        <v>#REF!</v>
      </c>
      <c r="AR16" t="e">
        <f>AND(#REF!,"AAAAAF7f1Ss=")</f>
        <v>#REF!</v>
      </c>
      <c r="AS16" t="e">
        <f>AND(#REF!,"AAAAAF7f1Sw=")</f>
        <v>#REF!</v>
      </c>
      <c r="AT16" t="e">
        <f>AND(#REF!,"AAAAAF7f1S0=")</f>
        <v>#REF!</v>
      </c>
      <c r="AU16" t="e">
        <f>AND(#REF!,"AAAAAF7f1S4=")</f>
        <v>#REF!</v>
      </c>
      <c r="AV16" t="e">
        <f>AND(#REF!,"AAAAAF7f1S8=")</f>
        <v>#REF!</v>
      </c>
      <c r="AW16" t="e">
        <f>AND(#REF!,"AAAAAF7f1TA=")</f>
        <v>#REF!</v>
      </c>
      <c r="AX16" t="e">
        <f>AND(#REF!,"AAAAAF7f1TE=")</f>
        <v>#REF!</v>
      </c>
      <c r="AY16" t="e">
        <f>AND(#REF!,"AAAAAF7f1TI=")</f>
        <v>#REF!</v>
      </c>
      <c r="AZ16" t="e">
        <f>AND(#REF!,"AAAAAF7f1TM=")</f>
        <v>#REF!</v>
      </c>
      <c r="BA16" t="e">
        <f>AND(#REF!,"AAAAAF7f1TQ=")</f>
        <v>#REF!</v>
      </c>
      <c r="BB16" t="e">
        <f>AND(#REF!,"AAAAAF7f1TU=")</f>
        <v>#REF!</v>
      </c>
      <c r="BC16" t="e">
        <f>AND(#REF!,"AAAAAF7f1TY=")</f>
        <v>#REF!</v>
      </c>
      <c r="BD16" t="e">
        <f>AND(#REF!,"AAAAAF7f1Tc=")</f>
        <v>#REF!</v>
      </c>
      <c r="BE16" t="e">
        <f>AND(#REF!,"AAAAAF7f1Tg=")</f>
        <v>#REF!</v>
      </c>
      <c r="BF16" t="e">
        <f>AND(#REF!,"AAAAAF7f1Tk=")</f>
        <v>#REF!</v>
      </c>
      <c r="BG16" t="e">
        <f>AND(#REF!,"AAAAAF7f1To=")</f>
        <v>#REF!</v>
      </c>
      <c r="BH16" t="e">
        <f>AND(#REF!,"AAAAAF7f1Ts=")</f>
        <v>#REF!</v>
      </c>
      <c r="BI16" t="e">
        <f>IF(#REF!,"AAAAAF7f1Tw=",0)</f>
        <v>#REF!</v>
      </c>
      <c r="BJ16" t="e">
        <f>AND(#REF!,"AAAAAF7f1T0=")</f>
        <v>#REF!</v>
      </c>
      <c r="BK16" t="e">
        <f>AND(#REF!,"AAAAAF7f1T4=")</f>
        <v>#REF!</v>
      </c>
      <c r="BL16" t="e">
        <f>AND(#REF!,"AAAAAF7f1T8=")</f>
        <v>#REF!</v>
      </c>
      <c r="BM16" t="e">
        <f>AND(#REF!,"AAAAAF7f1UA=")</f>
        <v>#REF!</v>
      </c>
      <c r="BN16" t="e">
        <f>AND(#REF!,"AAAAAF7f1UE=")</f>
        <v>#REF!</v>
      </c>
      <c r="BO16" t="e">
        <f>AND(#REF!,"AAAAAF7f1UI=")</f>
        <v>#REF!</v>
      </c>
      <c r="BP16" t="e">
        <f>AND(#REF!,"AAAAAF7f1UM=")</f>
        <v>#REF!</v>
      </c>
      <c r="BQ16" t="e">
        <f>AND(#REF!,"AAAAAF7f1UQ=")</f>
        <v>#REF!</v>
      </c>
      <c r="BR16" t="e">
        <f>AND(#REF!,"AAAAAF7f1UU=")</f>
        <v>#REF!</v>
      </c>
      <c r="BS16" t="e">
        <f>AND(#REF!,"AAAAAF7f1UY=")</f>
        <v>#REF!</v>
      </c>
      <c r="BT16" t="e">
        <f>AND(#REF!,"AAAAAF7f1Uc=")</f>
        <v>#REF!</v>
      </c>
      <c r="BU16" t="e">
        <f>AND(#REF!,"AAAAAF7f1Ug=")</f>
        <v>#REF!</v>
      </c>
      <c r="BV16" t="e">
        <f>AND(#REF!,"AAAAAF7f1Uk=")</f>
        <v>#REF!</v>
      </c>
      <c r="BW16" t="e">
        <f>AND(#REF!,"AAAAAF7f1Uo=")</f>
        <v>#REF!</v>
      </c>
      <c r="BX16" t="e">
        <f>AND(#REF!,"AAAAAF7f1Us=")</f>
        <v>#REF!</v>
      </c>
      <c r="BY16" t="e">
        <f>AND(#REF!,"AAAAAF7f1Uw=")</f>
        <v>#REF!</v>
      </c>
      <c r="BZ16" t="e">
        <f>AND(#REF!,"AAAAAF7f1U0=")</f>
        <v>#REF!</v>
      </c>
      <c r="CA16" t="e">
        <f>AND(#REF!,"AAAAAF7f1U4=")</f>
        <v>#REF!</v>
      </c>
      <c r="CB16" t="e">
        <f>AND(#REF!,"AAAAAF7f1U8=")</f>
        <v>#REF!</v>
      </c>
      <c r="CC16" t="e">
        <f>IF(#REF!,"AAAAAF7f1VA=",0)</f>
        <v>#REF!</v>
      </c>
      <c r="CD16" t="e">
        <f>AND(#REF!,"AAAAAF7f1VE=")</f>
        <v>#REF!</v>
      </c>
      <c r="CE16" t="e">
        <f>AND(#REF!,"AAAAAF7f1VI=")</f>
        <v>#REF!</v>
      </c>
      <c r="CF16" t="e">
        <f>AND(#REF!,"AAAAAF7f1VM=")</f>
        <v>#REF!</v>
      </c>
      <c r="CG16" t="e">
        <f>AND(#REF!,"AAAAAF7f1VQ=")</f>
        <v>#REF!</v>
      </c>
      <c r="CH16" t="e">
        <f>AND(#REF!,"AAAAAF7f1VU=")</f>
        <v>#REF!</v>
      </c>
      <c r="CI16" t="e">
        <f>AND(#REF!,"AAAAAF7f1VY=")</f>
        <v>#REF!</v>
      </c>
      <c r="CJ16" t="e">
        <f>AND(#REF!,"AAAAAF7f1Vc=")</f>
        <v>#REF!</v>
      </c>
      <c r="CK16" t="e">
        <f>AND(#REF!,"AAAAAF7f1Vg=")</f>
        <v>#REF!</v>
      </c>
      <c r="CL16" t="e">
        <f>AND(#REF!,"AAAAAF7f1Vk=")</f>
        <v>#REF!</v>
      </c>
      <c r="CM16" t="e">
        <f>AND(#REF!,"AAAAAF7f1Vo=")</f>
        <v>#REF!</v>
      </c>
      <c r="CN16" t="e">
        <f>AND(#REF!,"AAAAAF7f1Vs=")</f>
        <v>#REF!</v>
      </c>
      <c r="CO16" t="e">
        <f>AND(#REF!,"AAAAAF7f1Vw=")</f>
        <v>#REF!</v>
      </c>
      <c r="CP16" t="e">
        <f>AND(#REF!,"AAAAAF7f1V0=")</f>
        <v>#REF!</v>
      </c>
      <c r="CQ16" t="e">
        <f>AND(#REF!,"AAAAAF7f1V4=")</f>
        <v>#REF!</v>
      </c>
      <c r="CR16" t="e">
        <f>AND(#REF!,"AAAAAF7f1V8=")</f>
        <v>#REF!</v>
      </c>
      <c r="CS16" t="e">
        <f>AND(#REF!,"AAAAAF7f1WA=")</f>
        <v>#REF!</v>
      </c>
      <c r="CT16" t="e">
        <f>AND(#REF!,"AAAAAF7f1WE=")</f>
        <v>#REF!</v>
      </c>
      <c r="CU16" t="e">
        <f>AND(#REF!,"AAAAAF7f1WI=")</f>
        <v>#REF!</v>
      </c>
      <c r="CV16" t="e">
        <f>AND(#REF!,"AAAAAF7f1WM=")</f>
        <v>#REF!</v>
      </c>
      <c r="CW16" t="e">
        <f>IF(#REF!,"AAAAAF7f1WQ=",0)</f>
        <v>#REF!</v>
      </c>
      <c r="CX16" t="e">
        <f>AND(#REF!,"AAAAAF7f1WU=")</f>
        <v>#REF!</v>
      </c>
      <c r="CY16" t="e">
        <f>AND(#REF!,"AAAAAF7f1WY=")</f>
        <v>#REF!</v>
      </c>
      <c r="CZ16" t="e">
        <f>AND(#REF!,"AAAAAF7f1Wc=")</f>
        <v>#REF!</v>
      </c>
      <c r="DA16" t="e">
        <f>AND(#REF!,"AAAAAF7f1Wg=")</f>
        <v>#REF!</v>
      </c>
      <c r="DB16" t="e">
        <f>AND(#REF!,"AAAAAF7f1Wk=")</f>
        <v>#REF!</v>
      </c>
      <c r="DC16" t="e">
        <f>AND(#REF!,"AAAAAF7f1Wo=")</f>
        <v>#REF!</v>
      </c>
      <c r="DD16" t="e">
        <f>AND(#REF!,"AAAAAF7f1Ws=")</f>
        <v>#REF!</v>
      </c>
      <c r="DE16" t="e">
        <f>AND(#REF!,"AAAAAF7f1Ww=")</f>
        <v>#REF!</v>
      </c>
      <c r="DF16" t="e">
        <f>AND(#REF!,"AAAAAF7f1W0=")</f>
        <v>#REF!</v>
      </c>
      <c r="DG16" t="e">
        <f>AND(#REF!,"AAAAAF7f1W4=")</f>
        <v>#REF!</v>
      </c>
      <c r="DH16" t="e">
        <f>AND(#REF!,"AAAAAF7f1W8=")</f>
        <v>#REF!</v>
      </c>
      <c r="DI16" t="e">
        <f>AND(#REF!,"AAAAAF7f1XA=")</f>
        <v>#REF!</v>
      </c>
      <c r="DJ16" t="e">
        <f>AND(#REF!,"AAAAAF7f1XE=")</f>
        <v>#REF!</v>
      </c>
      <c r="DK16" t="e">
        <f>AND(#REF!,"AAAAAF7f1XI=")</f>
        <v>#REF!</v>
      </c>
      <c r="DL16" t="e">
        <f>AND(#REF!,"AAAAAF7f1XM=")</f>
        <v>#REF!</v>
      </c>
      <c r="DM16" t="e">
        <f>AND(#REF!,"AAAAAF7f1XQ=")</f>
        <v>#REF!</v>
      </c>
      <c r="DN16" t="e">
        <f>AND(#REF!,"AAAAAF7f1XU=")</f>
        <v>#REF!</v>
      </c>
      <c r="DO16" t="e">
        <f>AND(#REF!,"AAAAAF7f1XY=")</f>
        <v>#REF!</v>
      </c>
      <c r="DP16" t="e">
        <f>AND(#REF!,"AAAAAF7f1Xc=")</f>
        <v>#REF!</v>
      </c>
      <c r="DQ16" t="e">
        <f>IF(#REF!,"AAAAAF7f1Xg=",0)</f>
        <v>#REF!</v>
      </c>
      <c r="DR16" t="e">
        <f>AND(#REF!,"AAAAAF7f1Xk=")</f>
        <v>#REF!</v>
      </c>
      <c r="DS16" t="e">
        <f>AND(#REF!,"AAAAAF7f1Xo=")</f>
        <v>#REF!</v>
      </c>
      <c r="DT16" t="e">
        <f>AND(#REF!,"AAAAAF7f1Xs=")</f>
        <v>#REF!</v>
      </c>
      <c r="DU16" t="e">
        <f>AND(#REF!,"AAAAAF7f1Xw=")</f>
        <v>#REF!</v>
      </c>
      <c r="DV16" t="e">
        <f>AND(#REF!,"AAAAAF7f1X0=")</f>
        <v>#REF!</v>
      </c>
      <c r="DW16" t="e">
        <f>AND(#REF!,"AAAAAF7f1X4=")</f>
        <v>#REF!</v>
      </c>
      <c r="DX16" t="e">
        <f>AND(#REF!,"AAAAAF7f1X8=")</f>
        <v>#REF!</v>
      </c>
      <c r="DY16" t="e">
        <f>AND(#REF!,"AAAAAF7f1YA=")</f>
        <v>#REF!</v>
      </c>
      <c r="DZ16" t="e">
        <f>AND(#REF!,"AAAAAF7f1YE=")</f>
        <v>#REF!</v>
      </c>
      <c r="EA16" t="e">
        <f>AND(#REF!,"AAAAAF7f1YI=")</f>
        <v>#REF!</v>
      </c>
      <c r="EB16" t="e">
        <f>AND(#REF!,"AAAAAF7f1YM=")</f>
        <v>#REF!</v>
      </c>
      <c r="EC16" t="e">
        <f>AND(#REF!,"AAAAAF7f1YQ=")</f>
        <v>#REF!</v>
      </c>
      <c r="ED16" t="e">
        <f>AND(#REF!,"AAAAAF7f1YU=")</f>
        <v>#REF!</v>
      </c>
      <c r="EE16" t="e">
        <f>AND(#REF!,"AAAAAF7f1YY=")</f>
        <v>#REF!</v>
      </c>
      <c r="EF16" t="e">
        <f>AND(#REF!,"AAAAAF7f1Yc=")</f>
        <v>#REF!</v>
      </c>
      <c r="EG16" t="e">
        <f>AND(#REF!,"AAAAAF7f1Yg=")</f>
        <v>#REF!</v>
      </c>
      <c r="EH16" t="e">
        <f>AND(#REF!,"AAAAAF7f1Yk=")</f>
        <v>#REF!</v>
      </c>
      <c r="EI16" t="e">
        <f>AND(#REF!,"AAAAAF7f1Yo=")</f>
        <v>#REF!</v>
      </c>
      <c r="EJ16" t="e">
        <f>AND(#REF!,"AAAAAF7f1Ys=")</f>
        <v>#REF!</v>
      </c>
      <c r="EK16" t="e">
        <f>IF(#REF!,"AAAAAF7f1Yw=",0)</f>
        <v>#REF!</v>
      </c>
      <c r="EL16" t="e">
        <f>AND(#REF!,"AAAAAF7f1Y0=")</f>
        <v>#REF!</v>
      </c>
      <c r="EM16" t="e">
        <f>AND(#REF!,"AAAAAF7f1Y4=")</f>
        <v>#REF!</v>
      </c>
      <c r="EN16" t="e">
        <f>AND(#REF!,"AAAAAF7f1Y8=")</f>
        <v>#REF!</v>
      </c>
      <c r="EO16" t="e">
        <f>AND(#REF!,"AAAAAF7f1ZA=")</f>
        <v>#REF!</v>
      </c>
      <c r="EP16" t="e">
        <f>AND(#REF!,"AAAAAF7f1ZE=")</f>
        <v>#REF!</v>
      </c>
      <c r="EQ16" t="e">
        <f>AND(#REF!,"AAAAAF7f1ZI=")</f>
        <v>#REF!</v>
      </c>
      <c r="ER16" t="e">
        <f>AND(#REF!,"AAAAAF7f1ZM=")</f>
        <v>#REF!</v>
      </c>
      <c r="ES16" t="e">
        <f>AND(#REF!,"AAAAAF7f1ZQ=")</f>
        <v>#REF!</v>
      </c>
      <c r="ET16" t="e">
        <f>AND(#REF!,"AAAAAF7f1ZU=")</f>
        <v>#REF!</v>
      </c>
      <c r="EU16" t="e">
        <f>AND(#REF!,"AAAAAF7f1ZY=")</f>
        <v>#REF!</v>
      </c>
      <c r="EV16" t="e">
        <f>AND(#REF!,"AAAAAF7f1Zc=")</f>
        <v>#REF!</v>
      </c>
      <c r="EW16" t="e">
        <f>AND(#REF!,"AAAAAF7f1Zg=")</f>
        <v>#REF!</v>
      </c>
      <c r="EX16" t="e">
        <f>AND(#REF!,"AAAAAF7f1Zk=")</f>
        <v>#REF!</v>
      </c>
      <c r="EY16" t="e">
        <f>AND(#REF!,"AAAAAF7f1Zo=")</f>
        <v>#REF!</v>
      </c>
      <c r="EZ16" t="e">
        <f>AND(#REF!,"AAAAAF7f1Zs=")</f>
        <v>#REF!</v>
      </c>
      <c r="FA16" t="e">
        <f>AND(#REF!,"AAAAAF7f1Zw=")</f>
        <v>#REF!</v>
      </c>
      <c r="FB16" t="e">
        <f>AND(#REF!,"AAAAAF7f1Z0=")</f>
        <v>#REF!</v>
      </c>
      <c r="FC16" t="e">
        <f>AND(#REF!,"AAAAAF7f1Z4=")</f>
        <v>#REF!</v>
      </c>
      <c r="FD16" t="e">
        <f>AND(#REF!,"AAAAAF7f1Z8=")</f>
        <v>#REF!</v>
      </c>
      <c r="FE16" t="e">
        <f>IF(#REF!,"AAAAAF7f1aA=",0)</f>
        <v>#REF!</v>
      </c>
      <c r="FF16" t="e">
        <f>AND(#REF!,"AAAAAF7f1aE=")</f>
        <v>#REF!</v>
      </c>
      <c r="FG16" t="e">
        <f>AND(#REF!,"AAAAAF7f1aI=")</f>
        <v>#REF!</v>
      </c>
      <c r="FH16" t="e">
        <f>AND(#REF!,"AAAAAF7f1aM=")</f>
        <v>#REF!</v>
      </c>
      <c r="FI16" t="e">
        <f>AND(#REF!,"AAAAAF7f1aQ=")</f>
        <v>#REF!</v>
      </c>
      <c r="FJ16" t="e">
        <f>AND(#REF!,"AAAAAF7f1aU=")</f>
        <v>#REF!</v>
      </c>
      <c r="FK16" t="e">
        <f>AND(#REF!,"AAAAAF7f1aY=")</f>
        <v>#REF!</v>
      </c>
      <c r="FL16" t="e">
        <f>AND(#REF!,"AAAAAF7f1ac=")</f>
        <v>#REF!</v>
      </c>
      <c r="FM16" t="e">
        <f>AND(#REF!,"AAAAAF7f1ag=")</f>
        <v>#REF!</v>
      </c>
      <c r="FN16" t="e">
        <f>AND(#REF!,"AAAAAF7f1ak=")</f>
        <v>#REF!</v>
      </c>
      <c r="FO16" t="e">
        <f>AND(#REF!,"AAAAAF7f1ao=")</f>
        <v>#REF!</v>
      </c>
      <c r="FP16" t="e">
        <f>AND(#REF!,"AAAAAF7f1as=")</f>
        <v>#REF!</v>
      </c>
      <c r="FQ16" t="e">
        <f>AND(#REF!,"AAAAAF7f1aw=")</f>
        <v>#REF!</v>
      </c>
      <c r="FR16" t="e">
        <f>AND(#REF!,"AAAAAF7f1a0=")</f>
        <v>#REF!</v>
      </c>
      <c r="FS16" t="e">
        <f>AND(#REF!,"AAAAAF7f1a4=")</f>
        <v>#REF!</v>
      </c>
      <c r="FT16" t="e">
        <f>AND(#REF!,"AAAAAF7f1a8=")</f>
        <v>#REF!</v>
      </c>
      <c r="FU16" t="e">
        <f>AND(#REF!,"AAAAAF7f1bA=")</f>
        <v>#REF!</v>
      </c>
      <c r="FV16" t="e">
        <f>AND(#REF!,"AAAAAF7f1bE=")</f>
        <v>#REF!</v>
      </c>
      <c r="FW16" t="e">
        <f>AND(#REF!,"AAAAAF7f1bI=")</f>
        <v>#REF!</v>
      </c>
      <c r="FX16" t="e">
        <f>AND(#REF!,"AAAAAF7f1bM=")</f>
        <v>#REF!</v>
      </c>
      <c r="FY16" t="e">
        <f>IF(#REF!,"AAAAAF7f1bQ=",0)</f>
        <v>#REF!</v>
      </c>
      <c r="FZ16" t="e">
        <f>AND(#REF!,"AAAAAF7f1bU=")</f>
        <v>#REF!</v>
      </c>
      <c r="GA16" t="e">
        <f>AND(#REF!,"AAAAAF7f1bY=")</f>
        <v>#REF!</v>
      </c>
      <c r="GB16" t="e">
        <f>AND(#REF!,"AAAAAF7f1bc=")</f>
        <v>#REF!</v>
      </c>
      <c r="GC16" t="e">
        <f>AND(#REF!,"AAAAAF7f1bg=")</f>
        <v>#REF!</v>
      </c>
      <c r="GD16" t="e">
        <f>AND(#REF!,"AAAAAF7f1bk=")</f>
        <v>#REF!</v>
      </c>
      <c r="GE16" t="e">
        <f>AND(#REF!,"AAAAAF7f1bo=")</f>
        <v>#REF!</v>
      </c>
      <c r="GF16" t="e">
        <f>AND(#REF!,"AAAAAF7f1bs=")</f>
        <v>#REF!</v>
      </c>
      <c r="GG16" t="e">
        <f>AND(#REF!,"AAAAAF7f1bw=")</f>
        <v>#REF!</v>
      </c>
      <c r="GH16" t="e">
        <f>AND(#REF!,"AAAAAF7f1b0=")</f>
        <v>#REF!</v>
      </c>
      <c r="GI16" t="e">
        <f>AND(#REF!,"AAAAAF7f1b4=")</f>
        <v>#REF!</v>
      </c>
      <c r="GJ16" t="e">
        <f>AND(#REF!,"AAAAAF7f1b8=")</f>
        <v>#REF!</v>
      </c>
      <c r="GK16" t="e">
        <f>AND(#REF!,"AAAAAF7f1cA=")</f>
        <v>#REF!</v>
      </c>
      <c r="GL16" t="e">
        <f>AND(#REF!,"AAAAAF7f1cE=")</f>
        <v>#REF!</v>
      </c>
      <c r="GM16" t="e">
        <f>AND(#REF!,"AAAAAF7f1cI=")</f>
        <v>#REF!</v>
      </c>
      <c r="GN16" t="e">
        <f>AND(#REF!,"AAAAAF7f1cM=")</f>
        <v>#REF!</v>
      </c>
      <c r="GO16" t="e">
        <f>AND(#REF!,"AAAAAF7f1cQ=")</f>
        <v>#REF!</v>
      </c>
      <c r="GP16" t="e">
        <f>AND(#REF!,"AAAAAF7f1cU=")</f>
        <v>#REF!</v>
      </c>
      <c r="GQ16" t="e">
        <f>AND(#REF!,"AAAAAF7f1cY=")</f>
        <v>#REF!</v>
      </c>
      <c r="GR16" t="e">
        <f>AND(#REF!,"AAAAAF7f1cc=")</f>
        <v>#REF!</v>
      </c>
      <c r="GS16" t="e">
        <f>IF(#REF!,"AAAAAF7f1cg=",0)</f>
        <v>#REF!</v>
      </c>
      <c r="GT16" t="e">
        <f>AND(#REF!,"AAAAAF7f1ck=")</f>
        <v>#REF!</v>
      </c>
      <c r="GU16" t="e">
        <f>AND(#REF!,"AAAAAF7f1co=")</f>
        <v>#REF!</v>
      </c>
      <c r="GV16" t="e">
        <f>AND(#REF!,"AAAAAF7f1cs=")</f>
        <v>#REF!</v>
      </c>
      <c r="GW16" t="e">
        <f>AND(#REF!,"AAAAAF7f1cw=")</f>
        <v>#REF!</v>
      </c>
      <c r="GX16" t="e">
        <f>AND(#REF!,"AAAAAF7f1c0=")</f>
        <v>#REF!</v>
      </c>
      <c r="GY16" t="e">
        <f>AND(#REF!,"AAAAAF7f1c4=")</f>
        <v>#REF!</v>
      </c>
      <c r="GZ16" t="e">
        <f>AND(#REF!,"AAAAAF7f1c8=")</f>
        <v>#REF!</v>
      </c>
      <c r="HA16" t="e">
        <f>AND(#REF!,"AAAAAF7f1dA=")</f>
        <v>#REF!</v>
      </c>
      <c r="HB16" t="e">
        <f>AND(#REF!,"AAAAAF7f1dE=")</f>
        <v>#REF!</v>
      </c>
      <c r="HC16" t="e">
        <f>AND(#REF!,"AAAAAF7f1dI=")</f>
        <v>#REF!</v>
      </c>
      <c r="HD16" t="e">
        <f>AND(#REF!,"AAAAAF7f1dM=")</f>
        <v>#REF!</v>
      </c>
      <c r="HE16" t="e">
        <f>AND(#REF!,"AAAAAF7f1dQ=")</f>
        <v>#REF!</v>
      </c>
      <c r="HF16" t="e">
        <f>AND(#REF!,"AAAAAF7f1dU=")</f>
        <v>#REF!</v>
      </c>
      <c r="HG16" t="e">
        <f>AND(#REF!,"AAAAAF7f1dY=")</f>
        <v>#REF!</v>
      </c>
      <c r="HH16" t="e">
        <f>AND(#REF!,"AAAAAF7f1dc=")</f>
        <v>#REF!</v>
      </c>
      <c r="HI16" t="e">
        <f>AND(#REF!,"AAAAAF7f1dg=")</f>
        <v>#REF!</v>
      </c>
      <c r="HJ16" t="e">
        <f>AND(#REF!,"AAAAAF7f1dk=")</f>
        <v>#REF!</v>
      </c>
      <c r="HK16" t="e">
        <f>AND(#REF!,"AAAAAF7f1do=")</f>
        <v>#REF!</v>
      </c>
      <c r="HL16" t="e">
        <f>AND(#REF!,"AAAAAF7f1ds=")</f>
        <v>#REF!</v>
      </c>
      <c r="HM16" t="e">
        <f>IF(#REF!,"AAAAAF7f1dw=",0)</f>
        <v>#REF!</v>
      </c>
      <c r="HN16" t="e">
        <f>AND(#REF!,"AAAAAF7f1d0=")</f>
        <v>#REF!</v>
      </c>
      <c r="HO16" t="e">
        <f>AND(#REF!,"AAAAAF7f1d4=")</f>
        <v>#REF!</v>
      </c>
      <c r="HP16" t="e">
        <f>AND(#REF!,"AAAAAF7f1d8=")</f>
        <v>#REF!</v>
      </c>
      <c r="HQ16" t="e">
        <f>AND(#REF!,"AAAAAF7f1eA=")</f>
        <v>#REF!</v>
      </c>
      <c r="HR16" t="e">
        <f>AND(#REF!,"AAAAAF7f1eE=")</f>
        <v>#REF!</v>
      </c>
      <c r="HS16" t="e">
        <f>AND(#REF!,"AAAAAF7f1eI=")</f>
        <v>#REF!</v>
      </c>
      <c r="HT16" t="e">
        <f>AND(#REF!,"AAAAAF7f1eM=")</f>
        <v>#REF!</v>
      </c>
      <c r="HU16" t="e">
        <f>AND(#REF!,"AAAAAF7f1eQ=")</f>
        <v>#REF!</v>
      </c>
      <c r="HV16" t="e">
        <f>AND(#REF!,"AAAAAF7f1eU=")</f>
        <v>#REF!</v>
      </c>
      <c r="HW16" t="e">
        <f>AND(#REF!,"AAAAAF7f1eY=")</f>
        <v>#REF!</v>
      </c>
      <c r="HX16" t="e">
        <f>AND(#REF!,"AAAAAF7f1ec=")</f>
        <v>#REF!</v>
      </c>
      <c r="HY16" t="e">
        <f>AND(#REF!,"AAAAAF7f1eg=")</f>
        <v>#REF!</v>
      </c>
      <c r="HZ16" t="e">
        <f>AND(#REF!,"AAAAAF7f1ek=")</f>
        <v>#REF!</v>
      </c>
      <c r="IA16" t="e">
        <f>AND(#REF!,"AAAAAF7f1eo=")</f>
        <v>#REF!</v>
      </c>
      <c r="IB16" t="e">
        <f>AND(#REF!,"AAAAAF7f1es=")</f>
        <v>#REF!</v>
      </c>
      <c r="IC16" t="e">
        <f>AND(#REF!,"AAAAAF7f1ew=")</f>
        <v>#REF!</v>
      </c>
      <c r="ID16" t="e">
        <f>AND(#REF!,"AAAAAF7f1e0=")</f>
        <v>#REF!</v>
      </c>
      <c r="IE16" t="e">
        <f>AND(#REF!,"AAAAAF7f1e4=")</f>
        <v>#REF!</v>
      </c>
      <c r="IF16" t="e">
        <f>AND(#REF!,"AAAAAF7f1e8=")</f>
        <v>#REF!</v>
      </c>
      <c r="IG16" t="e">
        <f>IF(#REF!,"AAAAAF7f1fA=",0)</f>
        <v>#REF!</v>
      </c>
      <c r="IH16" t="e">
        <f>AND(#REF!,"AAAAAF7f1fE=")</f>
        <v>#REF!</v>
      </c>
      <c r="II16" t="e">
        <f>AND(#REF!,"AAAAAF7f1fI=")</f>
        <v>#REF!</v>
      </c>
      <c r="IJ16" t="e">
        <f>AND(#REF!,"AAAAAF7f1fM=")</f>
        <v>#REF!</v>
      </c>
      <c r="IK16" t="e">
        <f>AND(#REF!,"AAAAAF7f1fQ=")</f>
        <v>#REF!</v>
      </c>
      <c r="IL16" t="e">
        <f>AND(#REF!,"AAAAAF7f1fU=")</f>
        <v>#REF!</v>
      </c>
      <c r="IM16" t="e">
        <f>AND(#REF!,"AAAAAF7f1fY=")</f>
        <v>#REF!</v>
      </c>
      <c r="IN16" t="e">
        <f>AND(#REF!,"AAAAAF7f1fc=")</f>
        <v>#REF!</v>
      </c>
      <c r="IO16" t="e">
        <f>AND(#REF!,"AAAAAF7f1fg=")</f>
        <v>#REF!</v>
      </c>
      <c r="IP16" t="e">
        <f>AND(#REF!,"AAAAAF7f1fk=")</f>
        <v>#REF!</v>
      </c>
      <c r="IQ16" t="e">
        <f>AND(#REF!,"AAAAAF7f1fo=")</f>
        <v>#REF!</v>
      </c>
      <c r="IR16" t="e">
        <f>AND(#REF!,"AAAAAF7f1fs=")</f>
        <v>#REF!</v>
      </c>
      <c r="IS16" t="e">
        <f>AND(#REF!,"AAAAAF7f1fw=")</f>
        <v>#REF!</v>
      </c>
      <c r="IT16" t="e">
        <f>AND(#REF!,"AAAAAF7f1f0=")</f>
        <v>#REF!</v>
      </c>
      <c r="IU16" t="e">
        <f>AND(#REF!,"AAAAAF7f1f4=")</f>
        <v>#REF!</v>
      </c>
      <c r="IV16" t="e">
        <f>AND(#REF!,"AAAAAF7f1f8=")</f>
        <v>#REF!</v>
      </c>
    </row>
    <row r="17" spans="1:256" x14ac:dyDescent="0.15">
      <c r="A17" t="e">
        <f>AND(#REF!,"AAAAAE+lXwA=")</f>
        <v>#REF!</v>
      </c>
      <c r="B17" t="e">
        <f>AND(#REF!,"AAAAAE+lXwE=")</f>
        <v>#REF!</v>
      </c>
      <c r="C17" t="e">
        <f>AND(#REF!,"AAAAAE+lXwI=")</f>
        <v>#REF!</v>
      </c>
      <c r="D17" t="e">
        <f>AND(#REF!,"AAAAAE+lXwM=")</f>
        <v>#REF!</v>
      </c>
      <c r="E17" t="e">
        <f>IF(#REF!,"AAAAAE+lXwQ=",0)</f>
        <v>#REF!</v>
      </c>
      <c r="F17" t="e">
        <f>AND(#REF!,"AAAAAE+lXwU=")</f>
        <v>#REF!</v>
      </c>
      <c r="G17" t="e">
        <f>AND(#REF!,"AAAAAE+lXwY=")</f>
        <v>#REF!</v>
      </c>
      <c r="H17" t="e">
        <f>AND(#REF!,"AAAAAE+lXwc=")</f>
        <v>#REF!</v>
      </c>
      <c r="I17" t="e">
        <f>AND(#REF!,"AAAAAE+lXwg=")</f>
        <v>#REF!</v>
      </c>
      <c r="J17" t="e">
        <f>AND(#REF!,"AAAAAE+lXwk=")</f>
        <v>#REF!</v>
      </c>
      <c r="K17" t="e">
        <f>AND(#REF!,"AAAAAE+lXwo=")</f>
        <v>#REF!</v>
      </c>
      <c r="L17" t="e">
        <f>AND(#REF!,"AAAAAE+lXws=")</f>
        <v>#REF!</v>
      </c>
      <c r="M17" t="e">
        <f>AND(#REF!,"AAAAAE+lXww=")</f>
        <v>#REF!</v>
      </c>
      <c r="N17" t="e">
        <f>AND(#REF!,"AAAAAE+lXw0=")</f>
        <v>#REF!</v>
      </c>
      <c r="O17" t="e">
        <f>AND(#REF!,"AAAAAE+lXw4=")</f>
        <v>#REF!</v>
      </c>
      <c r="P17" t="e">
        <f>AND(#REF!,"AAAAAE+lXw8=")</f>
        <v>#REF!</v>
      </c>
      <c r="Q17" t="e">
        <f>AND(#REF!,"AAAAAE+lXxA=")</f>
        <v>#REF!</v>
      </c>
      <c r="R17" t="e">
        <f>AND(#REF!,"AAAAAE+lXxE=")</f>
        <v>#REF!</v>
      </c>
      <c r="S17" t="e">
        <f>AND(#REF!,"AAAAAE+lXxI=")</f>
        <v>#REF!</v>
      </c>
      <c r="T17" t="e">
        <f>AND(#REF!,"AAAAAE+lXxM=")</f>
        <v>#REF!</v>
      </c>
      <c r="U17" t="e">
        <f>AND(#REF!,"AAAAAE+lXxQ=")</f>
        <v>#REF!</v>
      </c>
      <c r="V17" t="e">
        <f>AND(#REF!,"AAAAAE+lXxU=")</f>
        <v>#REF!</v>
      </c>
      <c r="W17" t="e">
        <f>AND(#REF!,"AAAAAE+lXxY=")</f>
        <v>#REF!</v>
      </c>
      <c r="X17" t="e">
        <f>AND(#REF!,"AAAAAE+lXxc=")</f>
        <v>#REF!</v>
      </c>
      <c r="Y17" t="e">
        <f>IF(#REF!,"AAAAAE+lXxg=",0)</f>
        <v>#REF!</v>
      </c>
      <c r="Z17" t="e">
        <f>AND(#REF!,"AAAAAE+lXxk=")</f>
        <v>#REF!</v>
      </c>
      <c r="AA17" t="e">
        <f>AND(#REF!,"AAAAAE+lXxo=")</f>
        <v>#REF!</v>
      </c>
      <c r="AB17" t="e">
        <f>AND(#REF!,"AAAAAE+lXxs=")</f>
        <v>#REF!</v>
      </c>
      <c r="AC17" t="e">
        <f>AND(#REF!,"AAAAAE+lXxw=")</f>
        <v>#REF!</v>
      </c>
      <c r="AD17" t="e">
        <f>AND(#REF!,"AAAAAE+lXx0=")</f>
        <v>#REF!</v>
      </c>
      <c r="AE17" t="e">
        <f>AND(#REF!,"AAAAAE+lXx4=")</f>
        <v>#REF!</v>
      </c>
      <c r="AF17" t="e">
        <f>AND(#REF!,"AAAAAE+lXx8=")</f>
        <v>#REF!</v>
      </c>
      <c r="AG17" t="e">
        <f>AND(#REF!,"AAAAAE+lXyA=")</f>
        <v>#REF!</v>
      </c>
      <c r="AH17" t="e">
        <f>AND(#REF!,"AAAAAE+lXyE=")</f>
        <v>#REF!</v>
      </c>
      <c r="AI17" t="e">
        <f>AND(#REF!,"AAAAAE+lXyI=")</f>
        <v>#REF!</v>
      </c>
      <c r="AJ17" t="e">
        <f>AND(#REF!,"AAAAAE+lXyM=")</f>
        <v>#REF!</v>
      </c>
      <c r="AK17" t="e">
        <f>AND(#REF!,"AAAAAE+lXyQ=")</f>
        <v>#REF!</v>
      </c>
      <c r="AL17" t="e">
        <f>AND(#REF!,"AAAAAE+lXyU=")</f>
        <v>#REF!</v>
      </c>
      <c r="AM17" t="e">
        <f>AND(#REF!,"AAAAAE+lXyY=")</f>
        <v>#REF!</v>
      </c>
      <c r="AN17" t="e">
        <f>AND(#REF!,"AAAAAE+lXyc=")</f>
        <v>#REF!</v>
      </c>
      <c r="AO17" t="e">
        <f>AND(#REF!,"AAAAAE+lXyg=")</f>
        <v>#REF!</v>
      </c>
      <c r="AP17" t="e">
        <f>AND(#REF!,"AAAAAE+lXyk=")</f>
        <v>#REF!</v>
      </c>
      <c r="AQ17" t="e">
        <f>AND(#REF!,"AAAAAE+lXyo=")</f>
        <v>#REF!</v>
      </c>
      <c r="AR17" t="e">
        <f>AND(#REF!,"AAAAAE+lXys=")</f>
        <v>#REF!</v>
      </c>
      <c r="AS17" t="e">
        <f>IF(#REF!,"AAAAAE+lXyw=",0)</f>
        <v>#REF!</v>
      </c>
      <c r="AT17" t="e">
        <f>AND(#REF!,"AAAAAE+lXy0=")</f>
        <v>#REF!</v>
      </c>
      <c r="AU17" t="e">
        <f>AND(#REF!,"AAAAAE+lXy4=")</f>
        <v>#REF!</v>
      </c>
      <c r="AV17" t="e">
        <f>AND(#REF!,"AAAAAE+lXy8=")</f>
        <v>#REF!</v>
      </c>
      <c r="AW17" t="e">
        <f>AND(#REF!,"AAAAAE+lXzA=")</f>
        <v>#REF!</v>
      </c>
      <c r="AX17" t="e">
        <f>AND(#REF!,"AAAAAE+lXzE=")</f>
        <v>#REF!</v>
      </c>
      <c r="AY17" t="e">
        <f>AND(#REF!,"AAAAAE+lXzI=")</f>
        <v>#REF!</v>
      </c>
      <c r="AZ17" t="e">
        <f>AND(#REF!,"AAAAAE+lXzM=")</f>
        <v>#REF!</v>
      </c>
      <c r="BA17" t="e">
        <f>AND(#REF!,"AAAAAE+lXzQ=")</f>
        <v>#REF!</v>
      </c>
      <c r="BB17" t="e">
        <f>AND(#REF!,"AAAAAE+lXzU=")</f>
        <v>#REF!</v>
      </c>
      <c r="BC17" t="e">
        <f>AND(#REF!,"AAAAAE+lXzY=")</f>
        <v>#REF!</v>
      </c>
      <c r="BD17" t="e">
        <f>AND(#REF!,"AAAAAE+lXzc=")</f>
        <v>#REF!</v>
      </c>
      <c r="BE17" t="e">
        <f>AND(#REF!,"AAAAAE+lXzg=")</f>
        <v>#REF!</v>
      </c>
      <c r="BF17" t="e">
        <f>AND(#REF!,"AAAAAE+lXzk=")</f>
        <v>#REF!</v>
      </c>
      <c r="BG17" t="e">
        <f>AND(#REF!,"AAAAAE+lXzo=")</f>
        <v>#REF!</v>
      </c>
      <c r="BH17" t="e">
        <f>AND(#REF!,"AAAAAE+lXzs=")</f>
        <v>#REF!</v>
      </c>
      <c r="BI17" t="e">
        <f>AND(#REF!,"AAAAAE+lXzw=")</f>
        <v>#REF!</v>
      </c>
      <c r="BJ17" t="e">
        <f>AND(#REF!,"AAAAAE+lXz0=")</f>
        <v>#REF!</v>
      </c>
      <c r="BK17" t="e">
        <f>AND(#REF!,"AAAAAE+lXz4=")</f>
        <v>#REF!</v>
      </c>
      <c r="BL17" t="e">
        <f>AND(#REF!,"AAAAAE+lXz8=")</f>
        <v>#REF!</v>
      </c>
      <c r="BM17" t="e">
        <f>IF(#REF!,"AAAAAE+lX0A=",0)</f>
        <v>#REF!</v>
      </c>
      <c r="BN17" t="e">
        <f>AND(#REF!,"AAAAAE+lX0E=")</f>
        <v>#REF!</v>
      </c>
      <c r="BO17" t="e">
        <f>AND(#REF!,"AAAAAE+lX0I=")</f>
        <v>#REF!</v>
      </c>
      <c r="BP17" t="e">
        <f>AND(#REF!,"AAAAAE+lX0M=")</f>
        <v>#REF!</v>
      </c>
      <c r="BQ17" t="e">
        <f>AND(#REF!,"AAAAAE+lX0Q=")</f>
        <v>#REF!</v>
      </c>
      <c r="BR17" t="e">
        <f>AND(#REF!,"AAAAAE+lX0U=")</f>
        <v>#REF!</v>
      </c>
      <c r="BS17" t="e">
        <f>AND(#REF!,"AAAAAE+lX0Y=")</f>
        <v>#REF!</v>
      </c>
      <c r="BT17" t="e">
        <f>AND(#REF!,"AAAAAE+lX0c=")</f>
        <v>#REF!</v>
      </c>
      <c r="BU17" t="e">
        <f>AND(#REF!,"AAAAAE+lX0g=")</f>
        <v>#REF!</v>
      </c>
      <c r="BV17" t="e">
        <f>AND(#REF!,"AAAAAE+lX0k=")</f>
        <v>#REF!</v>
      </c>
      <c r="BW17" t="e">
        <f>AND(#REF!,"AAAAAE+lX0o=")</f>
        <v>#REF!</v>
      </c>
      <c r="BX17" t="e">
        <f>AND(#REF!,"AAAAAE+lX0s=")</f>
        <v>#REF!</v>
      </c>
      <c r="BY17" t="e">
        <f>AND(#REF!,"AAAAAE+lX0w=")</f>
        <v>#REF!</v>
      </c>
      <c r="BZ17" t="e">
        <f>AND(#REF!,"AAAAAE+lX00=")</f>
        <v>#REF!</v>
      </c>
      <c r="CA17" t="e">
        <f>AND(#REF!,"AAAAAE+lX04=")</f>
        <v>#REF!</v>
      </c>
      <c r="CB17" t="e">
        <f>AND(#REF!,"AAAAAE+lX08=")</f>
        <v>#REF!</v>
      </c>
      <c r="CC17" t="e">
        <f>AND(#REF!,"AAAAAE+lX1A=")</f>
        <v>#REF!</v>
      </c>
      <c r="CD17" t="e">
        <f>AND(#REF!,"AAAAAE+lX1E=")</f>
        <v>#REF!</v>
      </c>
      <c r="CE17" t="e">
        <f>AND(#REF!,"AAAAAE+lX1I=")</f>
        <v>#REF!</v>
      </c>
      <c r="CF17" t="e">
        <f>AND(#REF!,"AAAAAE+lX1M=")</f>
        <v>#REF!</v>
      </c>
      <c r="CG17" t="e">
        <f>IF(#REF!,"AAAAAE+lX1Q=",0)</f>
        <v>#REF!</v>
      </c>
      <c r="CH17" t="e">
        <f>AND(#REF!,"AAAAAE+lX1U=")</f>
        <v>#REF!</v>
      </c>
      <c r="CI17" t="e">
        <f>AND(#REF!,"AAAAAE+lX1Y=")</f>
        <v>#REF!</v>
      </c>
      <c r="CJ17" t="e">
        <f>AND(#REF!,"AAAAAE+lX1c=")</f>
        <v>#REF!</v>
      </c>
      <c r="CK17" t="e">
        <f>AND(#REF!,"AAAAAE+lX1g=")</f>
        <v>#REF!</v>
      </c>
      <c r="CL17" t="e">
        <f>AND(#REF!,"AAAAAE+lX1k=")</f>
        <v>#REF!</v>
      </c>
      <c r="CM17" t="e">
        <f>AND(#REF!,"AAAAAE+lX1o=")</f>
        <v>#REF!</v>
      </c>
      <c r="CN17" t="e">
        <f>AND(#REF!,"AAAAAE+lX1s=")</f>
        <v>#REF!</v>
      </c>
      <c r="CO17" t="e">
        <f>AND(#REF!,"AAAAAE+lX1w=")</f>
        <v>#REF!</v>
      </c>
      <c r="CP17" t="e">
        <f>AND(#REF!,"AAAAAE+lX10=")</f>
        <v>#REF!</v>
      </c>
      <c r="CQ17" t="e">
        <f>AND(#REF!,"AAAAAE+lX14=")</f>
        <v>#REF!</v>
      </c>
      <c r="CR17" t="e">
        <f>AND(#REF!,"AAAAAE+lX18=")</f>
        <v>#REF!</v>
      </c>
      <c r="CS17" t="e">
        <f>AND(#REF!,"AAAAAE+lX2A=")</f>
        <v>#REF!</v>
      </c>
      <c r="CT17" t="e">
        <f>AND(#REF!,"AAAAAE+lX2E=")</f>
        <v>#REF!</v>
      </c>
      <c r="CU17" t="e">
        <f>AND(#REF!,"AAAAAE+lX2I=")</f>
        <v>#REF!</v>
      </c>
      <c r="CV17" t="e">
        <f>AND(#REF!,"AAAAAE+lX2M=")</f>
        <v>#REF!</v>
      </c>
      <c r="CW17" t="e">
        <f>AND(#REF!,"AAAAAE+lX2Q=")</f>
        <v>#REF!</v>
      </c>
      <c r="CX17" t="e">
        <f>AND(#REF!,"AAAAAE+lX2U=")</f>
        <v>#REF!</v>
      </c>
      <c r="CY17" t="e">
        <f>AND(#REF!,"AAAAAE+lX2Y=")</f>
        <v>#REF!</v>
      </c>
      <c r="CZ17" t="e">
        <f>AND(#REF!,"AAAAAE+lX2c=")</f>
        <v>#REF!</v>
      </c>
      <c r="DA17" t="e">
        <f>IF(#REF!,"AAAAAE+lX2g=",0)</f>
        <v>#REF!</v>
      </c>
      <c r="DB17" t="e">
        <f>AND(#REF!,"AAAAAE+lX2k=")</f>
        <v>#REF!</v>
      </c>
      <c r="DC17" t="e">
        <f>AND(#REF!,"AAAAAE+lX2o=")</f>
        <v>#REF!</v>
      </c>
      <c r="DD17" t="e">
        <f>AND(#REF!,"AAAAAE+lX2s=")</f>
        <v>#REF!</v>
      </c>
      <c r="DE17" t="e">
        <f>AND(#REF!,"AAAAAE+lX2w=")</f>
        <v>#REF!</v>
      </c>
      <c r="DF17" t="e">
        <f>AND(#REF!,"AAAAAE+lX20=")</f>
        <v>#REF!</v>
      </c>
      <c r="DG17" t="e">
        <f>AND(#REF!,"AAAAAE+lX24=")</f>
        <v>#REF!</v>
      </c>
      <c r="DH17" t="e">
        <f>AND(#REF!,"AAAAAE+lX28=")</f>
        <v>#REF!</v>
      </c>
      <c r="DI17" t="e">
        <f>AND(#REF!,"AAAAAE+lX3A=")</f>
        <v>#REF!</v>
      </c>
      <c r="DJ17" t="e">
        <f>AND(#REF!,"AAAAAE+lX3E=")</f>
        <v>#REF!</v>
      </c>
      <c r="DK17" t="e">
        <f>AND(#REF!,"AAAAAE+lX3I=")</f>
        <v>#REF!</v>
      </c>
      <c r="DL17" t="e">
        <f>AND(#REF!,"AAAAAE+lX3M=")</f>
        <v>#REF!</v>
      </c>
      <c r="DM17" t="e">
        <f>AND(#REF!,"AAAAAE+lX3Q=")</f>
        <v>#REF!</v>
      </c>
      <c r="DN17" t="e">
        <f>AND(#REF!,"AAAAAE+lX3U=")</f>
        <v>#REF!</v>
      </c>
      <c r="DO17" t="e">
        <f>AND(#REF!,"AAAAAE+lX3Y=")</f>
        <v>#REF!</v>
      </c>
      <c r="DP17" t="e">
        <f>AND(#REF!,"AAAAAE+lX3c=")</f>
        <v>#REF!</v>
      </c>
      <c r="DQ17" t="e">
        <f>AND(#REF!,"AAAAAE+lX3g=")</f>
        <v>#REF!</v>
      </c>
      <c r="DR17" t="e">
        <f>AND(#REF!,"AAAAAE+lX3k=")</f>
        <v>#REF!</v>
      </c>
      <c r="DS17" t="e">
        <f>AND(#REF!,"AAAAAE+lX3o=")</f>
        <v>#REF!</v>
      </c>
      <c r="DT17" t="e">
        <f>AND(#REF!,"AAAAAE+lX3s=")</f>
        <v>#REF!</v>
      </c>
      <c r="DU17" t="e">
        <f>IF(#REF!,"AAAAAE+lX3w=",0)</f>
        <v>#REF!</v>
      </c>
      <c r="DV17" t="e">
        <f>AND(#REF!,"AAAAAE+lX30=")</f>
        <v>#REF!</v>
      </c>
      <c r="DW17" t="e">
        <f>AND(#REF!,"AAAAAE+lX34=")</f>
        <v>#REF!</v>
      </c>
      <c r="DX17" t="e">
        <f>AND(#REF!,"AAAAAE+lX38=")</f>
        <v>#REF!</v>
      </c>
      <c r="DY17" t="e">
        <f>AND(#REF!,"AAAAAE+lX4A=")</f>
        <v>#REF!</v>
      </c>
      <c r="DZ17" t="e">
        <f>AND(#REF!,"AAAAAE+lX4E=")</f>
        <v>#REF!</v>
      </c>
      <c r="EA17" t="e">
        <f>AND(#REF!,"AAAAAE+lX4I=")</f>
        <v>#REF!</v>
      </c>
      <c r="EB17" t="e">
        <f>AND(#REF!,"AAAAAE+lX4M=")</f>
        <v>#REF!</v>
      </c>
      <c r="EC17" t="e">
        <f>AND(#REF!,"AAAAAE+lX4Q=")</f>
        <v>#REF!</v>
      </c>
      <c r="ED17" t="e">
        <f>AND(#REF!,"AAAAAE+lX4U=")</f>
        <v>#REF!</v>
      </c>
      <c r="EE17" t="e">
        <f>AND(#REF!,"AAAAAE+lX4Y=")</f>
        <v>#REF!</v>
      </c>
      <c r="EF17" t="e">
        <f>AND(#REF!,"AAAAAE+lX4c=")</f>
        <v>#REF!</v>
      </c>
      <c r="EG17" t="e">
        <f>AND(#REF!,"AAAAAE+lX4g=")</f>
        <v>#REF!</v>
      </c>
      <c r="EH17" t="e">
        <f>AND(#REF!,"AAAAAE+lX4k=")</f>
        <v>#REF!</v>
      </c>
      <c r="EI17" t="e">
        <f>AND(#REF!,"AAAAAE+lX4o=")</f>
        <v>#REF!</v>
      </c>
      <c r="EJ17" t="e">
        <f>AND(#REF!,"AAAAAE+lX4s=")</f>
        <v>#REF!</v>
      </c>
      <c r="EK17" t="e">
        <f>AND(#REF!,"AAAAAE+lX4w=")</f>
        <v>#REF!</v>
      </c>
      <c r="EL17" t="e">
        <f>AND(#REF!,"AAAAAE+lX40=")</f>
        <v>#REF!</v>
      </c>
      <c r="EM17" t="e">
        <f>AND(#REF!,"AAAAAE+lX44=")</f>
        <v>#REF!</v>
      </c>
      <c r="EN17" t="e">
        <f>AND(#REF!,"AAAAAE+lX48=")</f>
        <v>#REF!</v>
      </c>
      <c r="EO17" t="e">
        <f>IF(#REF!,"AAAAAE+lX5A=",0)</f>
        <v>#REF!</v>
      </c>
      <c r="EP17" t="e">
        <f>AND(#REF!,"AAAAAE+lX5E=")</f>
        <v>#REF!</v>
      </c>
      <c r="EQ17" t="e">
        <f>AND(#REF!,"AAAAAE+lX5I=")</f>
        <v>#REF!</v>
      </c>
      <c r="ER17" t="e">
        <f>AND(#REF!,"AAAAAE+lX5M=")</f>
        <v>#REF!</v>
      </c>
      <c r="ES17" t="e">
        <f>AND(#REF!,"AAAAAE+lX5Q=")</f>
        <v>#REF!</v>
      </c>
      <c r="ET17" t="e">
        <f>AND(#REF!,"AAAAAE+lX5U=")</f>
        <v>#REF!</v>
      </c>
      <c r="EU17" t="e">
        <f>AND(#REF!,"AAAAAE+lX5Y=")</f>
        <v>#REF!</v>
      </c>
      <c r="EV17" t="e">
        <f>AND(#REF!,"AAAAAE+lX5c=")</f>
        <v>#REF!</v>
      </c>
      <c r="EW17" t="e">
        <f>AND(#REF!,"AAAAAE+lX5g=")</f>
        <v>#REF!</v>
      </c>
      <c r="EX17" t="e">
        <f>AND(#REF!,"AAAAAE+lX5k=")</f>
        <v>#REF!</v>
      </c>
      <c r="EY17" t="e">
        <f>AND(#REF!,"AAAAAE+lX5o=")</f>
        <v>#REF!</v>
      </c>
      <c r="EZ17" t="e">
        <f>AND(#REF!,"AAAAAE+lX5s=")</f>
        <v>#REF!</v>
      </c>
      <c r="FA17" t="e">
        <f>AND(#REF!,"AAAAAE+lX5w=")</f>
        <v>#REF!</v>
      </c>
      <c r="FB17" t="e">
        <f>AND(#REF!,"AAAAAE+lX50=")</f>
        <v>#REF!</v>
      </c>
      <c r="FC17" t="e">
        <f>AND(#REF!,"AAAAAE+lX54=")</f>
        <v>#REF!</v>
      </c>
      <c r="FD17" t="e">
        <f>AND(#REF!,"AAAAAE+lX58=")</f>
        <v>#REF!</v>
      </c>
      <c r="FE17" t="e">
        <f>AND(#REF!,"AAAAAE+lX6A=")</f>
        <v>#REF!</v>
      </c>
      <c r="FF17" t="e">
        <f>AND(#REF!,"AAAAAE+lX6E=")</f>
        <v>#REF!</v>
      </c>
      <c r="FG17" t="e">
        <f>AND(#REF!,"AAAAAE+lX6I=")</f>
        <v>#REF!</v>
      </c>
      <c r="FH17" t="e">
        <f>AND(#REF!,"AAAAAE+lX6M=")</f>
        <v>#REF!</v>
      </c>
      <c r="FI17" t="e">
        <f>IF(#REF!,"AAAAAE+lX6Q=",0)</f>
        <v>#REF!</v>
      </c>
      <c r="FJ17" t="e">
        <f>AND(#REF!,"AAAAAE+lX6U=")</f>
        <v>#REF!</v>
      </c>
      <c r="FK17" t="e">
        <f>AND(#REF!,"AAAAAE+lX6Y=")</f>
        <v>#REF!</v>
      </c>
      <c r="FL17" t="e">
        <f>AND(#REF!,"AAAAAE+lX6c=")</f>
        <v>#REF!</v>
      </c>
      <c r="FM17" t="e">
        <f>AND(#REF!,"AAAAAE+lX6g=")</f>
        <v>#REF!</v>
      </c>
      <c r="FN17" t="e">
        <f>AND(#REF!,"AAAAAE+lX6k=")</f>
        <v>#REF!</v>
      </c>
      <c r="FO17" t="e">
        <f>AND(#REF!,"AAAAAE+lX6o=")</f>
        <v>#REF!</v>
      </c>
      <c r="FP17" t="e">
        <f>AND(#REF!,"AAAAAE+lX6s=")</f>
        <v>#REF!</v>
      </c>
      <c r="FQ17" t="e">
        <f>AND(#REF!,"AAAAAE+lX6w=")</f>
        <v>#REF!</v>
      </c>
      <c r="FR17" t="e">
        <f>AND(#REF!,"AAAAAE+lX60=")</f>
        <v>#REF!</v>
      </c>
      <c r="FS17" t="e">
        <f>AND(#REF!,"AAAAAE+lX64=")</f>
        <v>#REF!</v>
      </c>
      <c r="FT17" t="e">
        <f>AND(#REF!,"AAAAAE+lX68=")</f>
        <v>#REF!</v>
      </c>
      <c r="FU17" t="e">
        <f>AND(#REF!,"AAAAAE+lX7A=")</f>
        <v>#REF!</v>
      </c>
      <c r="FV17" t="e">
        <f>AND(#REF!,"AAAAAE+lX7E=")</f>
        <v>#REF!</v>
      </c>
      <c r="FW17" t="e">
        <f>AND(#REF!,"AAAAAE+lX7I=")</f>
        <v>#REF!</v>
      </c>
      <c r="FX17" t="e">
        <f>AND(#REF!,"AAAAAE+lX7M=")</f>
        <v>#REF!</v>
      </c>
      <c r="FY17" t="e">
        <f>AND(#REF!,"AAAAAE+lX7Q=")</f>
        <v>#REF!</v>
      </c>
      <c r="FZ17" t="e">
        <f>AND(#REF!,"AAAAAE+lX7U=")</f>
        <v>#REF!</v>
      </c>
      <c r="GA17" t="e">
        <f>AND(#REF!,"AAAAAE+lX7Y=")</f>
        <v>#REF!</v>
      </c>
      <c r="GB17" t="e">
        <f>AND(#REF!,"AAAAAE+lX7c=")</f>
        <v>#REF!</v>
      </c>
      <c r="GC17" t="e">
        <f>IF(#REF!,"AAAAAE+lX7g=",0)</f>
        <v>#REF!</v>
      </c>
      <c r="GD17" t="e">
        <f>AND(#REF!,"AAAAAE+lX7k=")</f>
        <v>#REF!</v>
      </c>
      <c r="GE17" t="e">
        <f>AND(#REF!,"AAAAAE+lX7o=")</f>
        <v>#REF!</v>
      </c>
      <c r="GF17" t="e">
        <f>AND(#REF!,"AAAAAE+lX7s=")</f>
        <v>#REF!</v>
      </c>
      <c r="GG17" t="e">
        <f>AND(#REF!,"AAAAAE+lX7w=")</f>
        <v>#REF!</v>
      </c>
      <c r="GH17" t="e">
        <f>AND(#REF!,"AAAAAE+lX70=")</f>
        <v>#REF!</v>
      </c>
      <c r="GI17" t="e">
        <f>AND(#REF!,"AAAAAE+lX74=")</f>
        <v>#REF!</v>
      </c>
      <c r="GJ17" t="e">
        <f>AND(#REF!,"AAAAAE+lX78=")</f>
        <v>#REF!</v>
      </c>
      <c r="GK17" t="e">
        <f>AND(#REF!,"AAAAAE+lX8A=")</f>
        <v>#REF!</v>
      </c>
      <c r="GL17" t="e">
        <f>AND(#REF!,"AAAAAE+lX8E=")</f>
        <v>#REF!</v>
      </c>
      <c r="GM17" t="e">
        <f>AND(#REF!,"AAAAAE+lX8I=")</f>
        <v>#REF!</v>
      </c>
      <c r="GN17" t="e">
        <f>AND(#REF!,"AAAAAE+lX8M=")</f>
        <v>#REF!</v>
      </c>
      <c r="GO17" t="e">
        <f>AND(#REF!,"AAAAAE+lX8Q=")</f>
        <v>#REF!</v>
      </c>
      <c r="GP17" t="e">
        <f>AND(#REF!,"AAAAAE+lX8U=")</f>
        <v>#REF!</v>
      </c>
      <c r="GQ17" t="e">
        <f>AND(#REF!,"AAAAAE+lX8Y=")</f>
        <v>#REF!</v>
      </c>
      <c r="GR17" t="e">
        <f>AND(#REF!,"AAAAAE+lX8c=")</f>
        <v>#REF!</v>
      </c>
      <c r="GS17" t="e">
        <f>AND(#REF!,"AAAAAE+lX8g=")</f>
        <v>#REF!</v>
      </c>
      <c r="GT17" t="e">
        <f>AND(#REF!,"AAAAAE+lX8k=")</f>
        <v>#REF!</v>
      </c>
      <c r="GU17" t="e">
        <f>AND(#REF!,"AAAAAE+lX8o=")</f>
        <v>#REF!</v>
      </c>
      <c r="GV17" t="e">
        <f>AND(#REF!,"AAAAAE+lX8s=")</f>
        <v>#REF!</v>
      </c>
      <c r="GW17" t="e">
        <f>IF(#REF!,"AAAAAE+lX8w=",0)</f>
        <v>#REF!</v>
      </c>
      <c r="GX17" t="e">
        <f>AND(#REF!,"AAAAAE+lX80=")</f>
        <v>#REF!</v>
      </c>
      <c r="GY17" t="e">
        <f>AND(#REF!,"AAAAAE+lX84=")</f>
        <v>#REF!</v>
      </c>
      <c r="GZ17" t="e">
        <f>AND(#REF!,"AAAAAE+lX88=")</f>
        <v>#REF!</v>
      </c>
      <c r="HA17" t="e">
        <f>AND(#REF!,"AAAAAE+lX9A=")</f>
        <v>#REF!</v>
      </c>
      <c r="HB17" t="e">
        <f>AND(#REF!,"AAAAAE+lX9E=")</f>
        <v>#REF!</v>
      </c>
      <c r="HC17" t="e">
        <f>AND(#REF!,"AAAAAE+lX9I=")</f>
        <v>#REF!</v>
      </c>
      <c r="HD17" t="e">
        <f>AND(#REF!,"AAAAAE+lX9M=")</f>
        <v>#REF!</v>
      </c>
      <c r="HE17" t="e">
        <f>AND(#REF!,"AAAAAE+lX9Q=")</f>
        <v>#REF!</v>
      </c>
      <c r="HF17" t="e">
        <f>AND(#REF!,"AAAAAE+lX9U=")</f>
        <v>#REF!</v>
      </c>
      <c r="HG17" t="e">
        <f>AND(#REF!,"AAAAAE+lX9Y=")</f>
        <v>#REF!</v>
      </c>
      <c r="HH17" t="e">
        <f>AND(#REF!,"AAAAAE+lX9c=")</f>
        <v>#REF!</v>
      </c>
      <c r="HI17" t="e">
        <f>AND(#REF!,"AAAAAE+lX9g=")</f>
        <v>#REF!</v>
      </c>
      <c r="HJ17" t="e">
        <f>AND(#REF!,"AAAAAE+lX9k=")</f>
        <v>#REF!</v>
      </c>
      <c r="HK17" t="e">
        <f>AND(#REF!,"AAAAAE+lX9o=")</f>
        <v>#REF!</v>
      </c>
      <c r="HL17" t="e">
        <f>AND(#REF!,"AAAAAE+lX9s=")</f>
        <v>#REF!</v>
      </c>
      <c r="HM17" t="e">
        <f>AND(#REF!,"AAAAAE+lX9w=")</f>
        <v>#REF!</v>
      </c>
      <c r="HN17" t="e">
        <f>AND(#REF!,"AAAAAE+lX90=")</f>
        <v>#REF!</v>
      </c>
      <c r="HO17" t="e">
        <f>AND(#REF!,"AAAAAE+lX94=")</f>
        <v>#REF!</v>
      </c>
      <c r="HP17" t="e">
        <f>AND(#REF!,"AAAAAE+lX98=")</f>
        <v>#REF!</v>
      </c>
      <c r="HQ17" t="e">
        <f>IF(#REF!,"AAAAAE+lX+A=",0)</f>
        <v>#REF!</v>
      </c>
      <c r="HR17" t="e">
        <f>AND(#REF!,"AAAAAE+lX+E=")</f>
        <v>#REF!</v>
      </c>
      <c r="HS17" t="e">
        <f>AND(#REF!,"AAAAAE+lX+I=")</f>
        <v>#REF!</v>
      </c>
      <c r="HT17" t="e">
        <f>AND(#REF!,"AAAAAE+lX+M=")</f>
        <v>#REF!</v>
      </c>
      <c r="HU17" t="e">
        <f>AND(#REF!,"AAAAAE+lX+Q=")</f>
        <v>#REF!</v>
      </c>
      <c r="HV17" t="e">
        <f>AND(#REF!,"AAAAAE+lX+U=")</f>
        <v>#REF!</v>
      </c>
      <c r="HW17" t="e">
        <f>AND(#REF!,"AAAAAE+lX+Y=")</f>
        <v>#REF!</v>
      </c>
      <c r="HX17" t="e">
        <f>AND(#REF!,"AAAAAE+lX+c=")</f>
        <v>#REF!</v>
      </c>
      <c r="HY17" t="e">
        <f>AND(#REF!,"AAAAAE+lX+g=")</f>
        <v>#REF!</v>
      </c>
      <c r="HZ17" t="e">
        <f>AND(#REF!,"AAAAAE+lX+k=")</f>
        <v>#REF!</v>
      </c>
      <c r="IA17" t="e">
        <f>AND(#REF!,"AAAAAE+lX+o=")</f>
        <v>#REF!</v>
      </c>
      <c r="IB17" t="e">
        <f>AND(#REF!,"AAAAAE+lX+s=")</f>
        <v>#REF!</v>
      </c>
      <c r="IC17" t="e">
        <f>AND(#REF!,"AAAAAE+lX+w=")</f>
        <v>#REF!</v>
      </c>
      <c r="ID17" t="e">
        <f>AND(#REF!,"AAAAAE+lX+0=")</f>
        <v>#REF!</v>
      </c>
      <c r="IE17" t="e">
        <f>AND(#REF!,"AAAAAE+lX+4=")</f>
        <v>#REF!</v>
      </c>
      <c r="IF17" t="e">
        <f>AND(#REF!,"AAAAAE+lX+8=")</f>
        <v>#REF!</v>
      </c>
      <c r="IG17" t="e">
        <f>AND(#REF!,"AAAAAE+lX/A=")</f>
        <v>#REF!</v>
      </c>
      <c r="IH17" t="e">
        <f>AND(#REF!,"AAAAAE+lX/E=")</f>
        <v>#REF!</v>
      </c>
      <c r="II17" t="e">
        <f>AND(#REF!,"AAAAAE+lX/I=")</f>
        <v>#REF!</v>
      </c>
      <c r="IJ17" t="e">
        <f>AND(#REF!,"AAAAAE+lX/M=")</f>
        <v>#REF!</v>
      </c>
      <c r="IK17" t="e">
        <f>IF(#REF!,"AAAAAE+lX/Q=",0)</f>
        <v>#REF!</v>
      </c>
      <c r="IL17" t="e">
        <f>AND(#REF!,"AAAAAE+lX/U=")</f>
        <v>#REF!</v>
      </c>
      <c r="IM17" t="e">
        <f>AND(#REF!,"AAAAAE+lX/Y=")</f>
        <v>#REF!</v>
      </c>
      <c r="IN17" t="e">
        <f>AND(#REF!,"AAAAAE+lX/c=")</f>
        <v>#REF!</v>
      </c>
      <c r="IO17" t="e">
        <f>AND(#REF!,"AAAAAE+lX/g=")</f>
        <v>#REF!</v>
      </c>
      <c r="IP17" t="e">
        <f>AND(#REF!,"AAAAAE+lX/k=")</f>
        <v>#REF!</v>
      </c>
      <c r="IQ17" t="e">
        <f>AND(#REF!,"AAAAAE+lX/o=")</f>
        <v>#REF!</v>
      </c>
      <c r="IR17" t="e">
        <f>AND(#REF!,"AAAAAE+lX/s=")</f>
        <v>#REF!</v>
      </c>
      <c r="IS17" t="e">
        <f>AND(#REF!,"AAAAAE+lX/w=")</f>
        <v>#REF!</v>
      </c>
      <c r="IT17" t="e">
        <f>AND(#REF!,"AAAAAE+lX/0=")</f>
        <v>#REF!</v>
      </c>
      <c r="IU17" t="e">
        <f>AND(#REF!,"AAAAAE+lX/4=")</f>
        <v>#REF!</v>
      </c>
      <c r="IV17" t="e">
        <f>AND(#REF!,"AAAAAE+lX/8=")</f>
        <v>#REF!</v>
      </c>
    </row>
    <row r="18" spans="1:256" x14ac:dyDescent="0.15">
      <c r="A18" t="e">
        <f>AND(#REF!,"AAAAAF933wA=")</f>
        <v>#REF!</v>
      </c>
      <c r="B18" t="e">
        <f>AND(#REF!,"AAAAAF933wE=")</f>
        <v>#REF!</v>
      </c>
      <c r="C18" t="e">
        <f>AND(#REF!,"AAAAAF933wI=")</f>
        <v>#REF!</v>
      </c>
      <c r="D18" t="e">
        <f>AND(#REF!,"AAAAAF933wM=")</f>
        <v>#REF!</v>
      </c>
      <c r="E18" t="e">
        <f>AND(#REF!,"AAAAAF933wQ=")</f>
        <v>#REF!</v>
      </c>
      <c r="F18" t="e">
        <f>AND(#REF!,"AAAAAF933wU=")</f>
        <v>#REF!</v>
      </c>
      <c r="G18" t="e">
        <f>AND(#REF!,"AAAAAF933wY=")</f>
        <v>#REF!</v>
      </c>
      <c r="H18" t="e">
        <f>AND(#REF!,"AAAAAF933wc=")</f>
        <v>#REF!</v>
      </c>
      <c r="I18" t="e">
        <f>IF(#REF!,"AAAAAF933wg=",0)</f>
        <v>#REF!</v>
      </c>
      <c r="J18" t="e">
        <f>AND(#REF!,"AAAAAF933wk=")</f>
        <v>#REF!</v>
      </c>
      <c r="K18" t="e">
        <f>AND(#REF!,"AAAAAF933wo=")</f>
        <v>#REF!</v>
      </c>
      <c r="L18" t="e">
        <f>AND(#REF!,"AAAAAF933ws=")</f>
        <v>#REF!</v>
      </c>
      <c r="M18" t="e">
        <f>AND(#REF!,"AAAAAF933ww=")</f>
        <v>#REF!</v>
      </c>
      <c r="N18" t="e">
        <f>AND(#REF!,"AAAAAF933w0=")</f>
        <v>#REF!</v>
      </c>
      <c r="O18" t="e">
        <f>AND(#REF!,"AAAAAF933w4=")</f>
        <v>#REF!</v>
      </c>
      <c r="P18" t="e">
        <f>AND(#REF!,"AAAAAF933w8=")</f>
        <v>#REF!</v>
      </c>
      <c r="Q18" t="e">
        <f>AND(#REF!,"AAAAAF933xA=")</f>
        <v>#REF!</v>
      </c>
      <c r="R18" t="e">
        <f>AND(#REF!,"AAAAAF933xE=")</f>
        <v>#REF!</v>
      </c>
      <c r="S18" t="e">
        <f>AND(#REF!,"AAAAAF933xI=")</f>
        <v>#REF!</v>
      </c>
      <c r="T18" t="e">
        <f>AND(#REF!,"AAAAAF933xM=")</f>
        <v>#REF!</v>
      </c>
      <c r="U18" t="e">
        <f>AND(#REF!,"AAAAAF933xQ=")</f>
        <v>#REF!</v>
      </c>
      <c r="V18" t="e">
        <f>AND(#REF!,"AAAAAF933xU=")</f>
        <v>#REF!</v>
      </c>
      <c r="W18" t="e">
        <f>AND(#REF!,"AAAAAF933xY=")</f>
        <v>#REF!</v>
      </c>
      <c r="X18" t="e">
        <f>AND(#REF!,"AAAAAF933xc=")</f>
        <v>#REF!</v>
      </c>
      <c r="Y18" t="e">
        <f>AND(#REF!,"AAAAAF933xg=")</f>
        <v>#REF!</v>
      </c>
      <c r="Z18" t="e">
        <f>AND(#REF!,"AAAAAF933xk=")</f>
        <v>#REF!</v>
      </c>
      <c r="AA18" t="e">
        <f>AND(#REF!,"AAAAAF933xo=")</f>
        <v>#REF!</v>
      </c>
      <c r="AB18" t="e">
        <f>AND(#REF!,"AAAAAF933xs=")</f>
        <v>#REF!</v>
      </c>
      <c r="AC18" t="e">
        <f>IF(#REF!,"AAAAAF933xw=",0)</f>
        <v>#REF!</v>
      </c>
      <c r="AD18" t="e">
        <f>AND(#REF!,"AAAAAF933x0=")</f>
        <v>#REF!</v>
      </c>
      <c r="AE18" t="e">
        <f>AND(#REF!,"AAAAAF933x4=")</f>
        <v>#REF!</v>
      </c>
      <c r="AF18" t="e">
        <f>AND(#REF!,"AAAAAF933x8=")</f>
        <v>#REF!</v>
      </c>
      <c r="AG18" t="e">
        <f>AND(#REF!,"AAAAAF933yA=")</f>
        <v>#REF!</v>
      </c>
      <c r="AH18" t="e">
        <f>AND(#REF!,"AAAAAF933yE=")</f>
        <v>#REF!</v>
      </c>
      <c r="AI18" t="e">
        <f>AND(#REF!,"AAAAAF933yI=")</f>
        <v>#REF!</v>
      </c>
      <c r="AJ18" t="e">
        <f>AND(#REF!,"AAAAAF933yM=")</f>
        <v>#REF!</v>
      </c>
      <c r="AK18" t="e">
        <f>AND(#REF!,"AAAAAF933yQ=")</f>
        <v>#REF!</v>
      </c>
      <c r="AL18" t="e">
        <f>AND(#REF!,"AAAAAF933yU=")</f>
        <v>#REF!</v>
      </c>
      <c r="AM18" t="e">
        <f>AND(#REF!,"AAAAAF933yY=")</f>
        <v>#REF!</v>
      </c>
      <c r="AN18" t="e">
        <f>AND(#REF!,"AAAAAF933yc=")</f>
        <v>#REF!</v>
      </c>
      <c r="AO18" t="e">
        <f>AND(#REF!,"AAAAAF933yg=")</f>
        <v>#REF!</v>
      </c>
      <c r="AP18" t="e">
        <f>AND(#REF!,"AAAAAF933yk=")</f>
        <v>#REF!</v>
      </c>
      <c r="AQ18" t="e">
        <f>AND(#REF!,"AAAAAF933yo=")</f>
        <v>#REF!</v>
      </c>
      <c r="AR18" t="e">
        <f>AND(#REF!,"AAAAAF933ys=")</f>
        <v>#REF!</v>
      </c>
      <c r="AS18" t="e">
        <f>AND(#REF!,"AAAAAF933yw=")</f>
        <v>#REF!</v>
      </c>
      <c r="AT18" t="e">
        <f>AND(#REF!,"AAAAAF933y0=")</f>
        <v>#REF!</v>
      </c>
      <c r="AU18" t="e">
        <f>AND(#REF!,"AAAAAF933y4=")</f>
        <v>#REF!</v>
      </c>
      <c r="AV18" t="e">
        <f>AND(#REF!,"AAAAAF933y8=")</f>
        <v>#REF!</v>
      </c>
      <c r="AW18" t="e">
        <f>IF(#REF!,"AAAAAF933zA=",0)</f>
        <v>#REF!</v>
      </c>
      <c r="AX18" t="e">
        <f>AND(#REF!,"AAAAAF933zE=")</f>
        <v>#REF!</v>
      </c>
      <c r="AY18" t="e">
        <f>AND(#REF!,"AAAAAF933zI=")</f>
        <v>#REF!</v>
      </c>
      <c r="AZ18" t="e">
        <f>AND(#REF!,"AAAAAF933zM=")</f>
        <v>#REF!</v>
      </c>
      <c r="BA18" t="e">
        <f>AND(#REF!,"AAAAAF933zQ=")</f>
        <v>#REF!</v>
      </c>
      <c r="BB18" t="e">
        <f>AND(#REF!,"AAAAAF933zU=")</f>
        <v>#REF!</v>
      </c>
      <c r="BC18" t="e">
        <f>AND(#REF!,"AAAAAF933zY=")</f>
        <v>#REF!</v>
      </c>
      <c r="BD18" t="e">
        <f>AND(#REF!,"AAAAAF933zc=")</f>
        <v>#REF!</v>
      </c>
      <c r="BE18" t="e">
        <f>AND(#REF!,"AAAAAF933zg=")</f>
        <v>#REF!</v>
      </c>
      <c r="BF18" t="e">
        <f>AND(#REF!,"AAAAAF933zk=")</f>
        <v>#REF!</v>
      </c>
      <c r="BG18" t="e">
        <f>AND(#REF!,"AAAAAF933zo=")</f>
        <v>#REF!</v>
      </c>
      <c r="BH18" t="e">
        <f>AND(#REF!,"AAAAAF933zs=")</f>
        <v>#REF!</v>
      </c>
      <c r="BI18" t="e">
        <f>AND(#REF!,"AAAAAF933zw=")</f>
        <v>#REF!</v>
      </c>
      <c r="BJ18" t="e">
        <f>AND(#REF!,"AAAAAF933z0=")</f>
        <v>#REF!</v>
      </c>
      <c r="BK18" t="e">
        <f>AND(#REF!,"AAAAAF933z4=")</f>
        <v>#REF!</v>
      </c>
      <c r="BL18" t="e">
        <f>AND(#REF!,"AAAAAF933z8=")</f>
        <v>#REF!</v>
      </c>
      <c r="BM18" t="e">
        <f>AND(#REF!,"AAAAAF9330A=")</f>
        <v>#REF!</v>
      </c>
      <c r="BN18" t="e">
        <f>AND(#REF!,"AAAAAF9330E=")</f>
        <v>#REF!</v>
      </c>
      <c r="BO18" t="e">
        <f>AND(#REF!,"AAAAAF9330I=")</f>
        <v>#REF!</v>
      </c>
      <c r="BP18" t="e">
        <f>AND(#REF!,"AAAAAF9330M=")</f>
        <v>#REF!</v>
      </c>
      <c r="BQ18" t="e">
        <f>IF(#REF!,"AAAAAF9330Q=",0)</f>
        <v>#REF!</v>
      </c>
      <c r="BR18" t="e">
        <f>AND(#REF!,"AAAAAF9330U=")</f>
        <v>#REF!</v>
      </c>
      <c r="BS18" t="e">
        <f>AND(#REF!,"AAAAAF9330Y=")</f>
        <v>#REF!</v>
      </c>
      <c r="BT18" t="e">
        <f>AND(#REF!,"AAAAAF9330c=")</f>
        <v>#REF!</v>
      </c>
      <c r="BU18" t="e">
        <f>AND(#REF!,"AAAAAF9330g=")</f>
        <v>#REF!</v>
      </c>
      <c r="BV18" t="e">
        <f>AND(#REF!,"AAAAAF9330k=")</f>
        <v>#REF!</v>
      </c>
      <c r="BW18" t="e">
        <f>AND(#REF!,"AAAAAF9330o=")</f>
        <v>#REF!</v>
      </c>
      <c r="BX18" t="e">
        <f>AND(#REF!,"AAAAAF9330s=")</f>
        <v>#REF!</v>
      </c>
      <c r="BY18" t="e">
        <f>AND(#REF!,"AAAAAF9330w=")</f>
        <v>#REF!</v>
      </c>
      <c r="BZ18" t="e">
        <f>AND(#REF!,"AAAAAF93300=")</f>
        <v>#REF!</v>
      </c>
      <c r="CA18" t="e">
        <f>AND(#REF!,"AAAAAF93304=")</f>
        <v>#REF!</v>
      </c>
      <c r="CB18" t="e">
        <f>AND(#REF!,"AAAAAF93308=")</f>
        <v>#REF!</v>
      </c>
      <c r="CC18" t="e">
        <f>AND(#REF!,"AAAAAF9331A=")</f>
        <v>#REF!</v>
      </c>
      <c r="CD18" t="e">
        <f>AND(#REF!,"AAAAAF9331E=")</f>
        <v>#REF!</v>
      </c>
      <c r="CE18" t="e">
        <f>AND(#REF!,"AAAAAF9331I=")</f>
        <v>#REF!</v>
      </c>
      <c r="CF18" t="e">
        <f>AND(#REF!,"AAAAAF9331M=")</f>
        <v>#REF!</v>
      </c>
      <c r="CG18" t="e">
        <f>AND(#REF!,"AAAAAF9331Q=")</f>
        <v>#REF!</v>
      </c>
      <c r="CH18" t="e">
        <f>AND(#REF!,"AAAAAF9331U=")</f>
        <v>#REF!</v>
      </c>
      <c r="CI18" t="e">
        <f>AND(#REF!,"AAAAAF9331Y=")</f>
        <v>#REF!</v>
      </c>
      <c r="CJ18" t="e">
        <f>AND(#REF!,"AAAAAF9331c=")</f>
        <v>#REF!</v>
      </c>
      <c r="CK18" t="e">
        <f>IF(#REF!,"AAAAAF9331g=",0)</f>
        <v>#REF!</v>
      </c>
      <c r="CL18" t="e">
        <f>AND(#REF!,"AAAAAF9331k=")</f>
        <v>#REF!</v>
      </c>
      <c r="CM18" t="e">
        <f>AND(#REF!,"AAAAAF9331o=")</f>
        <v>#REF!</v>
      </c>
      <c r="CN18" t="e">
        <f>AND(#REF!,"AAAAAF9331s=")</f>
        <v>#REF!</v>
      </c>
      <c r="CO18" t="e">
        <f>AND(#REF!,"AAAAAF9331w=")</f>
        <v>#REF!</v>
      </c>
      <c r="CP18" t="e">
        <f>AND(#REF!,"AAAAAF93310=")</f>
        <v>#REF!</v>
      </c>
      <c r="CQ18" t="e">
        <f>AND(#REF!,"AAAAAF93314=")</f>
        <v>#REF!</v>
      </c>
      <c r="CR18" t="e">
        <f>AND(#REF!,"AAAAAF93318=")</f>
        <v>#REF!</v>
      </c>
      <c r="CS18" t="e">
        <f>AND(#REF!,"AAAAAF9332A=")</f>
        <v>#REF!</v>
      </c>
      <c r="CT18" t="e">
        <f>AND(#REF!,"AAAAAF9332E=")</f>
        <v>#REF!</v>
      </c>
      <c r="CU18" t="e">
        <f>AND(#REF!,"AAAAAF9332I=")</f>
        <v>#REF!</v>
      </c>
      <c r="CV18" t="e">
        <f>AND(#REF!,"AAAAAF9332M=")</f>
        <v>#REF!</v>
      </c>
      <c r="CW18" t="e">
        <f>AND(#REF!,"AAAAAF9332Q=")</f>
        <v>#REF!</v>
      </c>
      <c r="CX18" t="e">
        <f>AND(#REF!,"AAAAAF9332U=")</f>
        <v>#REF!</v>
      </c>
      <c r="CY18" t="e">
        <f>AND(#REF!,"AAAAAF9332Y=")</f>
        <v>#REF!</v>
      </c>
      <c r="CZ18" t="e">
        <f>AND(#REF!,"AAAAAF9332c=")</f>
        <v>#REF!</v>
      </c>
      <c r="DA18" t="e">
        <f>AND(#REF!,"AAAAAF9332g=")</f>
        <v>#REF!</v>
      </c>
      <c r="DB18" t="e">
        <f>AND(#REF!,"AAAAAF9332k=")</f>
        <v>#REF!</v>
      </c>
      <c r="DC18" t="e">
        <f>AND(#REF!,"AAAAAF9332o=")</f>
        <v>#REF!</v>
      </c>
      <c r="DD18" t="e">
        <f>AND(#REF!,"AAAAAF9332s=")</f>
        <v>#REF!</v>
      </c>
      <c r="DE18" t="e">
        <f>IF(#REF!,"AAAAAF9332w=",0)</f>
        <v>#REF!</v>
      </c>
      <c r="DF18" t="e">
        <f>AND(#REF!,"AAAAAF93320=")</f>
        <v>#REF!</v>
      </c>
      <c r="DG18" t="e">
        <f>AND(#REF!,"AAAAAF93324=")</f>
        <v>#REF!</v>
      </c>
      <c r="DH18" t="e">
        <f>AND(#REF!,"AAAAAF93328=")</f>
        <v>#REF!</v>
      </c>
      <c r="DI18" t="e">
        <f>AND(#REF!,"AAAAAF9333A=")</f>
        <v>#REF!</v>
      </c>
      <c r="DJ18" t="e">
        <f>AND(#REF!,"AAAAAF9333E=")</f>
        <v>#REF!</v>
      </c>
      <c r="DK18" t="e">
        <f>AND(#REF!,"AAAAAF9333I=")</f>
        <v>#REF!</v>
      </c>
      <c r="DL18" t="e">
        <f>AND(#REF!,"AAAAAF9333M=")</f>
        <v>#REF!</v>
      </c>
      <c r="DM18" t="e">
        <f>AND(#REF!,"AAAAAF9333Q=")</f>
        <v>#REF!</v>
      </c>
      <c r="DN18" t="e">
        <f>AND(#REF!,"AAAAAF9333U=")</f>
        <v>#REF!</v>
      </c>
      <c r="DO18" t="e">
        <f>AND(#REF!,"AAAAAF9333Y=")</f>
        <v>#REF!</v>
      </c>
      <c r="DP18" t="e">
        <f>AND(#REF!,"AAAAAF9333c=")</f>
        <v>#REF!</v>
      </c>
      <c r="DQ18" t="e">
        <f>AND(#REF!,"AAAAAF9333g=")</f>
        <v>#REF!</v>
      </c>
      <c r="DR18" t="e">
        <f>AND(#REF!,"AAAAAF9333k=")</f>
        <v>#REF!</v>
      </c>
      <c r="DS18" t="e">
        <f>AND(#REF!,"AAAAAF9333o=")</f>
        <v>#REF!</v>
      </c>
      <c r="DT18" t="e">
        <f>AND(#REF!,"AAAAAF9333s=")</f>
        <v>#REF!</v>
      </c>
      <c r="DU18" t="e">
        <f>AND(#REF!,"AAAAAF9333w=")</f>
        <v>#REF!</v>
      </c>
      <c r="DV18" t="e">
        <f>AND(#REF!,"AAAAAF93330=")</f>
        <v>#REF!</v>
      </c>
      <c r="DW18" t="e">
        <f>AND(#REF!,"AAAAAF93334=")</f>
        <v>#REF!</v>
      </c>
      <c r="DX18" t="e">
        <f>AND(#REF!,"AAAAAF93338=")</f>
        <v>#REF!</v>
      </c>
      <c r="DY18" t="e">
        <f>IF(#REF!,"AAAAAF9334A=",0)</f>
        <v>#REF!</v>
      </c>
      <c r="DZ18" t="e">
        <f>AND(#REF!,"AAAAAF9334E=")</f>
        <v>#REF!</v>
      </c>
      <c r="EA18" t="e">
        <f>AND(#REF!,"AAAAAF9334I=")</f>
        <v>#REF!</v>
      </c>
      <c r="EB18" t="e">
        <f>AND(#REF!,"AAAAAF9334M=")</f>
        <v>#REF!</v>
      </c>
      <c r="EC18" t="e">
        <f>AND(#REF!,"AAAAAF9334Q=")</f>
        <v>#REF!</v>
      </c>
      <c r="ED18" t="e">
        <f>AND(#REF!,"AAAAAF9334U=")</f>
        <v>#REF!</v>
      </c>
      <c r="EE18" t="e">
        <f>AND(#REF!,"AAAAAF9334Y=")</f>
        <v>#REF!</v>
      </c>
      <c r="EF18" t="e">
        <f>AND(#REF!,"AAAAAF9334c=")</f>
        <v>#REF!</v>
      </c>
      <c r="EG18" t="e">
        <f>AND(#REF!,"AAAAAF9334g=")</f>
        <v>#REF!</v>
      </c>
      <c r="EH18" t="e">
        <f>AND(#REF!,"AAAAAF9334k=")</f>
        <v>#REF!</v>
      </c>
      <c r="EI18" t="e">
        <f>AND(#REF!,"AAAAAF9334o=")</f>
        <v>#REF!</v>
      </c>
      <c r="EJ18" t="e">
        <f>AND(#REF!,"AAAAAF9334s=")</f>
        <v>#REF!</v>
      </c>
      <c r="EK18" t="e">
        <f>AND(#REF!,"AAAAAF9334w=")</f>
        <v>#REF!</v>
      </c>
      <c r="EL18" t="e">
        <f>AND(#REF!,"AAAAAF93340=")</f>
        <v>#REF!</v>
      </c>
      <c r="EM18" t="e">
        <f>AND(#REF!,"AAAAAF93344=")</f>
        <v>#REF!</v>
      </c>
      <c r="EN18" t="e">
        <f>AND(#REF!,"AAAAAF93348=")</f>
        <v>#REF!</v>
      </c>
      <c r="EO18" t="e">
        <f>AND(#REF!,"AAAAAF9335A=")</f>
        <v>#REF!</v>
      </c>
      <c r="EP18" t="e">
        <f>AND(#REF!,"AAAAAF9335E=")</f>
        <v>#REF!</v>
      </c>
      <c r="EQ18" t="e">
        <f>AND(#REF!,"AAAAAF9335I=")</f>
        <v>#REF!</v>
      </c>
      <c r="ER18" t="e">
        <f>AND(#REF!,"AAAAAF9335M=")</f>
        <v>#REF!</v>
      </c>
      <c r="ES18" t="e">
        <f>IF(#REF!,"AAAAAF9335Q=",0)</f>
        <v>#REF!</v>
      </c>
      <c r="ET18" t="e">
        <f>AND(#REF!,"AAAAAF9335U=")</f>
        <v>#REF!</v>
      </c>
      <c r="EU18" t="e">
        <f>AND(#REF!,"AAAAAF9335Y=")</f>
        <v>#REF!</v>
      </c>
      <c r="EV18" t="e">
        <f>AND(#REF!,"AAAAAF9335c=")</f>
        <v>#REF!</v>
      </c>
      <c r="EW18" t="e">
        <f>AND(#REF!,"AAAAAF9335g=")</f>
        <v>#REF!</v>
      </c>
      <c r="EX18" t="e">
        <f>AND(#REF!,"AAAAAF9335k=")</f>
        <v>#REF!</v>
      </c>
      <c r="EY18" t="e">
        <f>AND(#REF!,"AAAAAF9335o=")</f>
        <v>#REF!</v>
      </c>
      <c r="EZ18" t="e">
        <f>AND(#REF!,"AAAAAF9335s=")</f>
        <v>#REF!</v>
      </c>
      <c r="FA18" t="e">
        <f>AND(#REF!,"AAAAAF9335w=")</f>
        <v>#REF!</v>
      </c>
      <c r="FB18" t="e">
        <f>AND(#REF!,"AAAAAF93350=")</f>
        <v>#REF!</v>
      </c>
      <c r="FC18" t="e">
        <f>AND(#REF!,"AAAAAF93354=")</f>
        <v>#REF!</v>
      </c>
      <c r="FD18" t="e">
        <f>AND(#REF!,"AAAAAF93358=")</f>
        <v>#REF!</v>
      </c>
      <c r="FE18" t="e">
        <f>AND(#REF!,"AAAAAF9336A=")</f>
        <v>#REF!</v>
      </c>
      <c r="FF18" t="e">
        <f>AND(#REF!,"AAAAAF9336E=")</f>
        <v>#REF!</v>
      </c>
      <c r="FG18" t="e">
        <f>AND(#REF!,"AAAAAF9336I=")</f>
        <v>#REF!</v>
      </c>
      <c r="FH18" t="e">
        <f>AND(#REF!,"AAAAAF9336M=")</f>
        <v>#REF!</v>
      </c>
      <c r="FI18" t="e">
        <f>AND(#REF!,"AAAAAF9336Q=")</f>
        <v>#REF!</v>
      </c>
      <c r="FJ18" t="e">
        <f>AND(#REF!,"AAAAAF9336U=")</f>
        <v>#REF!</v>
      </c>
      <c r="FK18" t="e">
        <f>AND(#REF!,"AAAAAF9336Y=")</f>
        <v>#REF!</v>
      </c>
      <c r="FL18" t="e">
        <f>AND(#REF!,"AAAAAF9336c=")</f>
        <v>#REF!</v>
      </c>
      <c r="FM18" t="e">
        <f>IF(#REF!,"AAAAAF9336g=",0)</f>
        <v>#REF!</v>
      </c>
      <c r="FN18" t="e">
        <f>AND(#REF!,"AAAAAF9336k=")</f>
        <v>#REF!</v>
      </c>
      <c r="FO18" t="e">
        <f>AND(#REF!,"AAAAAF9336o=")</f>
        <v>#REF!</v>
      </c>
      <c r="FP18" t="e">
        <f>AND(#REF!,"AAAAAF9336s=")</f>
        <v>#REF!</v>
      </c>
      <c r="FQ18" t="e">
        <f>AND(#REF!,"AAAAAF9336w=")</f>
        <v>#REF!</v>
      </c>
      <c r="FR18" t="e">
        <f>AND(#REF!,"AAAAAF93360=")</f>
        <v>#REF!</v>
      </c>
      <c r="FS18" t="e">
        <f>AND(#REF!,"AAAAAF93364=")</f>
        <v>#REF!</v>
      </c>
      <c r="FT18" t="e">
        <f>AND(#REF!,"AAAAAF93368=")</f>
        <v>#REF!</v>
      </c>
      <c r="FU18" t="e">
        <f>AND(#REF!,"AAAAAF9337A=")</f>
        <v>#REF!</v>
      </c>
      <c r="FV18" t="e">
        <f>AND(#REF!,"AAAAAF9337E=")</f>
        <v>#REF!</v>
      </c>
      <c r="FW18" t="e">
        <f>AND(#REF!,"AAAAAF9337I=")</f>
        <v>#REF!</v>
      </c>
      <c r="FX18" t="e">
        <f>AND(#REF!,"AAAAAF9337M=")</f>
        <v>#REF!</v>
      </c>
      <c r="FY18" t="e">
        <f>AND(#REF!,"AAAAAF9337Q=")</f>
        <v>#REF!</v>
      </c>
      <c r="FZ18" t="e">
        <f>AND(#REF!,"AAAAAF9337U=")</f>
        <v>#REF!</v>
      </c>
      <c r="GA18" t="e">
        <f>AND(#REF!,"AAAAAF9337Y=")</f>
        <v>#REF!</v>
      </c>
      <c r="GB18" t="e">
        <f>AND(#REF!,"AAAAAF9337c=")</f>
        <v>#REF!</v>
      </c>
      <c r="GC18" t="e">
        <f>AND(#REF!,"AAAAAF9337g=")</f>
        <v>#REF!</v>
      </c>
      <c r="GD18" t="e">
        <f>AND(#REF!,"AAAAAF9337k=")</f>
        <v>#REF!</v>
      </c>
      <c r="GE18" t="e">
        <f>AND(#REF!,"AAAAAF9337o=")</f>
        <v>#REF!</v>
      </c>
      <c r="GF18" t="e">
        <f>AND(#REF!,"AAAAAF9337s=")</f>
        <v>#REF!</v>
      </c>
      <c r="GG18" t="e">
        <f>IF(#REF!,"AAAAAF9337w=",0)</f>
        <v>#REF!</v>
      </c>
      <c r="GH18" t="e">
        <f>AND(#REF!,"AAAAAF93370=")</f>
        <v>#REF!</v>
      </c>
      <c r="GI18" t="e">
        <f>AND(#REF!,"AAAAAF93374=")</f>
        <v>#REF!</v>
      </c>
      <c r="GJ18" t="e">
        <f>AND(#REF!,"AAAAAF93378=")</f>
        <v>#REF!</v>
      </c>
      <c r="GK18" t="e">
        <f>AND(#REF!,"AAAAAF9338A=")</f>
        <v>#REF!</v>
      </c>
      <c r="GL18" t="e">
        <f>AND(#REF!,"AAAAAF9338E=")</f>
        <v>#REF!</v>
      </c>
      <c r="GM18" t="e">
        <f>AND(#REF!,"AAAAAF9338I=")</f>
        <v>#REF!</v>
      </c>
      <c r="GN18" t="e">
        <f>AND(#REF!,"AAAAAF9338M=")</f>
        <v>#REF!</v>
      </c>
      <c r="GO18" t="e">
        <f>AND(#REF!,"AAAAAF9338Q=")</f>
        <v>#REF!</v>
      </c>
      <c r="GP18" t="e">
        <f>AND(#REF!,"AAAAAF9338U=")</f>
        <v>#REF!</v>
      </c>
      <c r="GQ18" t="e">
        <f>AND(#REF!,"AAAAAF9338Y=")</f>
        <v>#REF!</v>
      </c>
      <c r="GR18" t="e">
        <f>AND(#REF!,"AAAAAF9338c=")</f>
        <v>#REF!</v>
      </c>
      <c r="GS18" t="e">
        <f>AND(#REF!,"AAAAAF9338g=")</f>
        <v>#REF!</v>
      </c>
      <c r="GT18" t="e">
        <f>AND(#REF!,"AAAAAF9338k=")</f>
        <v>#REF!</v>
      </c>
      <c r="GU18" t="e">
        <f>AND(#REF!,"AAAAAF9338o=")</f>
        <v>#REF!</v>
      </c>
      <c r="GV18" t="e">
        <f>AND(#REF!,"AAAAAF9338s=")</f>
        <v>#REF!</v>
      </c>
      <c r="GW18" t="e">
        <f>AND(#REF!,"AAAAAF9338w=")</f>
        <v>#REF!</v>
      </c>
      <c r="GX18" t="e">
        <f>AND(#REF!,"AAAAAF93380=")</f>
        <v>#REF!</v>
      </c>
      <c r="GY18" t="e">
        <f>AND(#REF!,"AAAAAF93384=")</f>
        <v>#REF!</v>
      </c>
      <c r="GZ18" t="e">
        <f>AND(#REF!,"AAAAAF93388=")</f>
        <v>#REF!</v>
      </c>
      <c r="HA18" t="e">
        <f>IF(#REF!,"AAAAAF9339A=",0)</f>
        <v>#REF!</v>
      </c>
      <c r="HB18" t="e">
        <f>AND(#REF!,"AAAAAF9339E=")</f>
        <v>#REF!</v>
      </c>
      <c r="HC18" t="e">
        <f>AND(#REF!,"AAAAAF9339I=")</f>
        <v>#REF!</v>
      </c>
      <c r="HD18" t="e">
        <f>AND(#REF!,"AAAAAF9339M=")</f>
        <v>#REF!</v>
      </c>
      <c r="HE18" t="e">
        <f>AND(#REF!,"AAAAAF9339Q=")</f>
        <v>#REF!</v>
      </c>
      <c r="HF18" t="e">
        <f>AND(#REF!,"AAAAAF9339U=")</f>
        <v>#REF!</v>
      </c>
      <c r="HG18" t="e">
        <f>AND(#REF!,"AAAAAF9339Y=")</f>
        <v>#REF!</v>
      </c>
      <c r="HH18" t="e">
        <f>AND(#REF!,"AAAAAF9339c=")</f>
        <v>#REF!</v>
      </c>
      <c r="HI18" t="e">
        <f>AND(#REF!,"AAAAAF9339g=")</f>
        <v>#REF!</v>
      </c>
      <c r="HJ18" t="e">
        <f>AND(#REF!,"AAAAAF9339k=")</f>
        <v>#REF!</v>
      </c>
      <c r="HK18" t="e">
        <f>AND(#REF!,"AAAAAF9339o=")</f>
        <v>#REF!</v>
      </c>
      <c r="HL18" t="e">
        <f>AND(#REF!,"AAAAAF9339s=")</f>
        <v>#REF!</v>
      </c>
      <c r="HM18" t="e">
        <f>AND(#REF!,"AAAAAF9339w=")</f>
        <v>#REF!</v>
      </c>
      <c r="HN18" t="e">
        <f>AND(#REF!,"AAAAAF93390=")</f>
        <v>#REF!</v>
      </c>
      <c r="HO18" t="e">
        <f>AND(#REF!,"AAAAAF93394=")</f>
        <v>#REF!</v>
      </c>
      <c r="HP18" t="e">
        <f>AND(#REF!,"AAAAAF93398=")</f>
        <v>#REF!</v>
      </c>
      <c r="HQ18" t="e">
        <f>AND(#REF!,"AAAAAF933+A=")</f>
        <v>#REF!</v>
      </c>
      <c r="HR18" t="e">
        <f>AND(#REF!,"AAAAAF933+E=")</f>
        <v>#REF!</v>
      </c>
      <c r="HS18" t="e">
        <f>AND(#REF!,"AAAAAF933+I=")</f>
        <v>#REF!</v>
      </c>
      <c r="HT18" t="e">
        <f>AND(#REF!,"AAAAAF933+M=")</f>
        <v>#REF!</v>
      </c>
      <c r="HU18" t="e">
        <f>IF(#REF!,"AAAAAF933+Q=",0)</f>
        <v>#REF!</v>
      </c>
      <c r="HV18" t="e">
        <f>AND(#REF!,"AAAAAF933+U=")</f>
        <v>#REF!</v>
      </c>
      <c r="HW18" t="e">
        <f>AND(#REF!,"AAAAAF933+Y=")</f>
        <v>#REF!</v>
      </c>
      <c r="HX18" t="e">
        <f>AND(#REF!,"AAAAAF933+c=")</f>
        <v>#REF!</v>
      </c>
      <c r="HY18" t="e">
        <f>AND(#REF!,"AAAAAF933+g=")</f>
        <v>#REF!</v>
      </c>
      <c r="HZ18" t="e">
        <f>AND(#REF!,"AAAAAF933+k=")</f>
        <v>#REF!</v>
      </c>
      <c r="IA18" t="e">
        <f>AND(#REF!,"AAAAAF933+o=")</f>
        <v>#REF!</v>
      </c>
      <c r="IB18" t="e">
        <f>AND(#REF!,"AAAAAF933+s=")</f>
        <v>#REF!</v>
      </c>
      <c r="IC18" t="e">
        <f>AND(#REF!,"AAAAAF933+w=")</f>
        <v>#REF!</v>
      </c>
      <c r="ID18" t="e">
        <f>AND(#REF!,"AAAAAF933+0=")</f>
        <v>#REF!</v>
      </c>
      <c r="IE18" t="e">
        <f>AND(#REF!,"AAAAAF933+4=")</f>
        <v>#REF!</v>
      </c>
      <c r="IF18" t="e">
        <f>AND(#REF!,"AAAAAF933+8=")</f>
        <v>#REF!</v>
      </c>
      <c r="IG18" t="e">
        <f>AND(#REF!,"AAAAAF933/A=")</f>
        <v>#REF!</v>
      </c>
      <c r="IH18" t="e">
        <f>AND(#REF!,"AAAAAF933/E=")</f>
        <v>#REF!</v>
      </c>
      <c r="II18" t="e">
        <f>AND(#REF!,"AAAAAF933/I=")</f>
        <v>#REF!</v>
      </c>
      <c r="IJ18" t="e">
        <f>AND(#REF!,"AAAAAF933/M=")</f>
        <v>#REF!</v>
      </c>
      <c r="IK18" t="e">
        <f>AND(#REF!,"AAAAAF933/Q=")</f>
        <v>#REF!</v>
      </c>
      <c r="IL18" t="e">
        <f>AND(#REF!,"AAAAAF933/U=")</f>
        <v>#REF!</v>
      </c>
      <c r="IM18" t="e">
        <f>AND(#REF!,"AAAAAF933/Y=")</f>
        <v>#REF!</v>
      </c>
      <c r="IN18" t="e">
        <f>AND(#REF!,"AAAAAF933/c=")</f>
        <v>#REF!</v>
      </c>
      <c r="IO18" t="e">
        <f>IF(#REF!,"AAAAAF933/g=",0)</f>
        <v>#REF!</v>
      </c>
      <c r="IP18" t="e">
        <f>AND(#REF!,"AAAAAF933/k=")</f>
        <v>#REF!</v>
      </c>
      <c r="IQ18" t="e">
        <f>AND(#REF!,"AAAAAF933/o=")</f>
        <v>#REF!</v>
      </c>
      <c r="IR18" t="e">
        <f>AND(#REF!,"AAAAAF933/s=")</f>
        <v>#REF!</v>
      </c>
      <c r="IS18" t="e">
        <f>AND(#REF!,"AAAAAF933/w=")</f>
        <v>#REF!</v>
      </c>
      <c r="IT18" t="e">
        <f>AND(#REF!,"AAAAAF933/0=")</f>
        <v>#REF!</v>
      </c>
      <c r="IU18" t="e">
        <f>AND(#REF!,"AAAAAF933/4=")</f>
        <v>#REF!</v>
      </c>
      <c r="IV18" t="e">
        <f>AND(#REF!,"AAAAAF933/8=")</f>
        <v>#REF!</v>
      </c>
    </row>
    <row r="19" spans="1:256" x14ac:dyDescent="0.15">
      <c r="A19" t="e">
        <f>AND(#REF!,"AAAAAHvf3QA=")</f>
        <v>#REF!</v>
      </c>
      <c r="B19" t="e">
        <f>AND(#REF!,"AAAAAHvf3QE=")</f>
        <v>#REF!</v>
      </c>
      <c r="C19" t="e">
        <f>AND(#REF!,"AAAAAHvf3QI=")</f>
        <v>#REF!</v>
      </c>
      <c r="D19" t="e">
        <f>AND(#REF!,"AAAAAHvf3QM=")</f>
        <v>#REF!</v>
      </c>
      <c r="E19" t="e">
        <f>AND(#REF!,"AAAAAHvf3QQ=")</f>
        <v>#REF!</v>
      </c>
      <c r="F19" t="e">
        <f>AND(#REF!,"AAAAAHvf3QU=")</f>
        <v>#REF!</v>
      </c>
      <c r="G19" t="e">
        <f>AND(#REF!,"AAAAAHvf3QY=")</f>
        <v>#REF!</v>
      </c>
      <c r="H19" t="e">
        <f>AND(#REF!,"AAAAAHvf3Qc=")</f>
        <v>#REF!</v>
      </c>
      <c r="I19" t="e">
        <f>AND(#REF!,"AAAAAHvf3Qg=")</f>
        <v>#REF!</v>
      </c>
      <c r="J19" t="e">
        <f>AND(#REF!,"AAAAAHvf3Qk=")</f>
        <v>#REF!</v>
      </c>
      <c r="K19" t="e">
        <f>AND(#REF!,"AAAAAHvf3Qo=")</f>
        <v>#REF!</v>
      </c>
      <c r="L19" t="e">
        <f>AND(#REF!,"AAAAAHvf3Qs=")</f>
        <v>#REF!</v>
      </c>
      <c r="M19" t="e">
        <f>IF(#REF!,"AAAAAHvf3Qw=",0)</f>
        <v>#REF!</v>
      </c>
      <c r="N19" t="e">
        <f>AND(#REF!,"AAAAAHvf3Q0=")</f>
        <v>#REF!</v>
      </c>
      <c r="O19" t="e">
        <f>AND(#REF!,"AAAAAHvf3Q4=")</f>
        <v>#REF!</v>
      </c>
      <c r="P19" t="e">
        <f>AND(#REF!,"AAAAAHvf3Q8=")</f>
        <v>#REF!</v>
      </c>
      <c r="Q19" t="e">
        <f>AND(#REF!,"AAAAAHvf3RA=")</f>
        <v>#REF!</v>
      </c>
      <c r="R19" t="e">
        <f>AND(#REF!,"AAAAAHvf3RE=")</f>
        <v>#REF!</v>
      </c>
      <c r="S19" t="e">
        <f>AND(#REF!,"AAAAAHvf3RI=")</f>
        <v>#REF!</v>
      </c>
      <c r="T19" t="e">
        <f>AND(#REF!,"AAAAAHvf3RM=")</f>
        <v>#REF!</v>
      </c>
      <c r="U19" t="e">
        <f>AND(#REF!,"AAAAAHvf3RQ=")</f>
        <v>#REF!</v>
      </c>
      <c r="V19" t="e">
        <f>AND(#REF!,"AAAAAHvf3RU=")</f>
        <v>#REF!</v>
      </c>
      <c r="W19" t="e">
        <f>AND(#REF!,"AAAAAHvf3RY=")</f>
        <v>#REF!</v>
      </c>
      <c r="X19" t="e">
        <f>AND(#REF!,"AAAAAHvf3Rc=")</f>
        <v>#REF!</v>
      </c>
      <c r="Y19" t="e">
        <f>AND(#REF!,"AAAAAHvf3Rg=")</f>
        <v>#REF!</v>
      </c>
      <c r="Z19" t="e">
        <f>AND(#REF!,"AAAAAHvf3Rk=")</f>
        <v>#REF!</v>
      </c>
      <c r="AA19" t="e">
        <f>AND(#REF!,"AAAAAHvf3Ro=")</f>
        <v>#REF!</v>
      </c>
      <c r="AB19" t="e">
        <f>AND(#REF!,"AAAAAHvf3Rs=")</f>
        <v>#REF!</v>
      </c>
      <c r="AC19" t="e">
        <f>AND(#REF!,"AAAAAHvf3Rw=")</f>
        <v>#REF!</v>
      </c>
      <c r="AD19" t="e">
        <f>AND(#REF!,"AAAAAHvf3R0=")</f>
        <v>#REF!</v>
      </c>
      <c r="AE19" t="e">
        <f>AND(#REF!,"AAAAAHvf3R4=")</f>
        <v>#REF!</v>
      </c>
      <c r="AF19" t="e">
        <f>AND(#REF!,"AAAAAHvf3R8=")</f>
        <v>#REF!</v>
      </c>
      <c r="AG19" t="e">
        <f>IF(#REF!,"AAAAAHvf3SA=",0)</f>
        <v>#REF!</v>
      </c>
      <c r="AH19" t="e">
        <f>AND(#REF!,"AAAAAHvf3SE=")</f>
        <v>#REF!</v>
      </c>
      <c r="AI19" t="e">
        <f>AND(#REF!,"AAAAAHvf3SI=")</f>
        <v>#REF!</v>
      </c>
      <c r="AJ19" t="e">
        <f>AND(#REF!,"AAAAAHvf3SM=")</f>
        <v>#REF!</v>
      </c>
      <c r="AK19" t="e">
        <f>AND(#REF!,"AAAAAHvf3SQ=")</f>
        <v>#REF!</v>
      </c>
      <c r="AL19" t="e">
        <f>AND(#REF!,"AAAAAHvf3SU=")</f>
        <v>#REF!</v>
      </c>
      <c r="AM19" t="e">
        <f>AND(#REF!,"AAAAAHvf3SY=")</f>
        <v>#REF!</v>
      </c>
      <c r="AN19" t="e">
        <f>AND(#REF!,"AAAAAHvf3Sc=")</f>
        <v>#REF!</v>
      </c>
      <c r="AO19" t="e">
        <f>AND(#REF!,"AAAAAHvf3Sg=")</f>
        <v>#REF!</v>
      </c>
      <c r="AP19" t="e">
        <f>AND(#REF!,"AAAAAHvf3Sk=")</f>
        <v>#REF!</v>
      </c>
      <c r="AQ19" t="e">
        <f>AND(#REF!,"AAAAAHvf3So=")</f>
        <v>#REF!</v>
      </c>
      <c r="AR19" t="e">
        <f>AND(#REF!,"AAAAAHvf3Ss=")</f>
        <v>#REF!</v>
      </c>
      <c r="AS19" t="e">
        <f>AND(#REF!,"AAAAAHvf3Sw=")</f>
        <v>#REF!</v>
      </c>
      <c r="AT19" t="e">
        <f>AND(#REF!,"AAAAAHvf3S0=")</f>
        <v>#REF!</v>
      </c>
      <c r="AU19" t="e">
        <f>AND(#REF!,"AAAAAHvf3S4=")</f>
        <v>#REF!</v>
      </c>
      <c r="AV19" t="e">
        <f>AND(#REF!,"AAAAAHvf3S8=")</f>
        <v>#REF!</v>
      </c>
      <c r="AW19" t="e">
        <f>AND(#REF!,"AAAAAHvf3TA=")</f>
        <v>#REF!</v>
      </c>
      <c r="AX19" t="e">
        <f>AND(#REF!,"AAAAAHvf3TE=")</f>
        <v>#REF!</v>
      </c>
      <c r="AY19" t="e">
        <f>AND(#REF!,"AAAAAHvf3TI=")</f>
        <v>#REF!</v>
      </c>
      <c r="AZ19" t="e">
        <f>AND(#REF!,"AAAAAHvf3TM=")</f>
        <v>#REF!</v>
      </c>
      <c r="BA19" t="e">
        <f>IF(#REF!,"AAAAAHvf3TQ=",0)</f>
        <v>#REF!</v>
      </c>
      <c r="BB19" t="e">
        <f>AND(#REF!,"AAAAAHvf3TU=")</f>
        <v>#REF!</v>
      </c>
      <c r="BC19" t="e">
        <f>AND(#REF!,"AAAAAHvf3TY=")</f>
        <v>#REF!</v>
      </c>
      <c r="BD19" t="e">
        <f>AND(#REF!,"AAAAAHvf3Tc=")</f>
        <v>#REF!</v>
      </c>
      <c r="BE19" t="e">
        <f>AND(#REF!,"AAAAAHvf3Tg=")</f>
        <v>#REF!</v>
      </c>
      <c r="BF19" t="e">
        <f>AND(#REF!,"AAAAAHvf3Tk=")</f>
        <v>#REF!</v>
      </c>
      <c r="BG19" t="e">
        <f>AND(#REF!,"AAAAAHvf3To=")</f>
        <v>#REF!</v>
      </c>
      <c r="BH19" t="e">
        <f>AND(#REF!,"AAAAAHvf3Ts=")</f>
        <v>#REF!</v>
      </c>
      <c r="BI19" t="e">
        <f>AND(#REF!,"AAAAAHvf3Tw=")</f>
        <v>#REF!</v>
      </c>
      <c r="BJ19" t="e">
        <f>AND(#REF!,"AAAAAHvf3T0=")</f>
        <v>#REF!</v>
      </c>
      <c r="BK19" t="e">
        <f>AND(#REF!,"AAAAAHvf3T4=")</f>
        <v>#REF!</v>
      </c>
      <c r="BL19" t="e">
        <f>AND(#REF!,"AAAAAHvf3T8=")</f>
        <v>#REF!</v>
      </c>
      <c r="BM19" t="e">
        <f>AND(#REF!,"AAAAAHvf3UA=")</f>
        <v>#REF!</v>
      </c>
      <c r="BN19" t="e">
        <f>AND(#REF!,"AAAAAHvf3UE=")</f>
        <v>#REF!</v>
      </c>
      <c r="BO19" t="e">
        <f>AND(#REF!,"AAAAAHvf3UI=")</f>
        <v>#REF!</v>
      </c>
      <c r="BP19" t="e">
        <f>AND(#REF!,"AAAAAHvf3UM=")</f>
        <v>#REF!</v>
      </c>
      <c r="BQ19" t="e">
        <f>AND(#REF!,"AAAAAHvf3UQ=")</f>
        <v>#REF!</v>
      </c>
      <c r="BR19" t="e">
        <f>AND(#REF!,"AAAAAHvf3UU=")</f>
        <v>#REF!</v>
      </c>
      <c r="BS19" t="e">
        <f>AND(#REF!,"AAAAAHvf3UY=")</f>
        <v>#REF!</v>
      </c>
      <c r="BT19" t="e">
        <f>AND(#REF!,"AAAAAHvf3Uc=")</f>
        <v>#REF!</v>
      </c>
      <c r="BU19" t="e">
        <f>IF(#REF!,"AAAAAHvf3Ug=",0)</f>
        <v>#REF!</v>
      </c>
      <c r="BV19" t="e">
        <f>AND(#REF!,"AAAAAHvf3Uk=")</f>
        <v>#REF!</v>
      </c>
      <c r="BW19" t="e">
        <f>AND(#REF!,"AAAAAHvf3Uo=")</f>
        <v>#REF!</v>
      </c>
      <c r="BX19" t="e">
        <f>AND(#REF!,"AAAAAHvf3Us=")</f>
        <v>#REF!</v>
      </c>
      <c r="BY19" t="e">
        <f>AND(#REF!,"AAAAAHvf3Uw=")</f>
        <v>#REF!</v>
      </c>
      <c r="BZ19" t="e">
        <f>AND(#REF!,"AAAAAHvf3U0=")</f>
        <v>#REF!</v>
      </c>
      <c r="CA19" t="e">
        <f>AND(#REF!,"AAAAAHvf3U4=")</f>
        <v>#REF!</v>
      </c>
      <c r="CB19" t="e">
        <f>AND(#REF!,"AAAAAHvf3U8=")</f>
        <v>#REF!</v>
      </c>
      <c r="CC19" t="e">
        <f>AND(#REF!,"AAAAAHvf3VA=")</f>
        <v>#REF!</v>
      </c>
      <c r="CD19" t="e">
        <f>AND(#REF!,"AAAAAHvf3VE=")</f>
        <v>#REF!</v>
      </c>
      <c r="CE19" t="e">
        <f>AND(#REF!,"AAAAAHvf3VI=")</f>
        <v>#REF!</v>
      </c>
      <c r="CF19" t="e">
        <f>AND(#REF!,"AAAAAHvf3VM=")</f>
        <v>#REF!</v>
      </c>
      <c r="CG19" t="e">
        <f>AND(#REF!,"AAAAAHvf3VQ=")</f>
        <v>#REF!</v>
      </c>
      <c r="CH19" t="e">
        <f>AND(#REF!,"AAAAAHvf3VU=")</f>
        <v>#REF!</v>
      </c>
      <c r="CI19" t="e">
        <f>AND(#REF!,"AAAAAHvf3VY=")</f>
        <v>#REF!</v>
      </c>
      <c r="CJ19" t="e">
        <f>AND(#REF!,"AAAAAHvf3Vc=")</f>
        <v>#REF!</v>
      </c>
      <c r="CK19" t="e">
        <f>AND(#REF!,"AAAAAHvf3Vg=")</f>
        <v>#REF!</v>
      </c>
      <c r="CL19" t="e">
        <f>AND(#REF!,"AAAAAHvf3Vk=")</f>
        <v>#REF!</v>
      </c>
      <c r="CM19" t="e">
        <f>AND(#REF!,"AAAAAHvf3Vo=")</f>
        <v>#REF!</v>
      </c>
      <c r="CN19" t="e">
        <f>AND(#REF!,"AAAAAHvf3Vs=")</f>
        <v>#REF!</v>
      </c>
      <c r="CO19" t="e">
        <f>IF(#REF!,"AAAAAHvf3Vw=",0)</f>
        <v>#REF!</v>
      </c>
      <c r="CP19" t="e">
        <f>AND(#REF!,"AAAAAHvf3V0=")</f>
        <v>#REF!</v>
      </c>
      <c r="CQ19" t="e">
        <f>AND(#REF!,"AAAAAHvf3V4=")</f>
        <v>#REF!</v>
      </c>
      <c r="CR19" t="e">
        <f>AND(#REF!,"AAAAAHvf3V8=")</f>
        <v>#REF!</v>
      </c>
      <c r="CS19" t="e">
        <f>AND(#REF!,"AAAAAHvf3WA=")</f>
        <v>#REF!</v>
      </c>
      <c r="CT19" t="e">
        <f>AND(#REF!,"AAAAAHvf3WE=")</f>
        <v>#REF!</v>
      </c>
      <c r="CU19" t="e">
        <f>AND(#REF!,"AAAAAHvf3WI=")</f>
        <v>#REF!</v>
      </c>
      <c r="CV19" t="e">
        <f>AND(#REF!,"AAAAAHvf3WM=")</f>
        <v>#REF!</v>
      </c>
      <c r="CW19" t="e">
        <f>AND(#REF!,"AAAAAHvf3WQ=")</f>
        <v>#REF!</v>
      </c>
      <c r="CX19" t="e">
        <f>AND(#REF!,"AAAAAHvf3WU=")</f>
        <v>#REF!</v>
      </c>
      <c r="CY19" t="e">
        <f>AND(#REF!,"AAAAAHvf3WY=")</f>
        <v>#REF!</v>
      </c>
      <c r="CZ19" t="e">
        <f>AND(#REF!,"AAAAAHvf3Wc=")</f>
        <v>#REF!</v>
      </c>
      <c r="DA19" t="e">
        <f>AND(#REF!,"AAAAAHvf3Wg=")</f>
        <v>#REF!</v>
      </c>
      <c r="DB19" t="e">
        <f>AND(#REF!,"AAAAAHvf3Wk=")</f>
        <v>#REF!</v>
      </c>
      <c r="DC19" t="e">
        <f>AND(#REF!,"AAAAAHvf3Wo=")</f>
        <v>#REF!</v>
      </c>
      <c r="DD19" t="e">
        <f>AND(#REF!,"AAAAAHvf3Ws=")</f>
        <v>#REF!</v>
      </c>
      <c r="DE19" t="e">
        <f>AND(#REF!,"AAAAAHvf3Ww=")</f>
        <v>#REF!</v>
      </c>
      <c r="DF19" t="e">
        <f>AND(#REF!,"AAAAAHvf3W0=")</f>
        <v>#REF!</v>
      </c>
      <c r="DG19" t="e">
        <f>AND(#REF!,"AAAAAHvf3W4=")</f>
        <v>#REF!</v>
      </c>
      <c r="DH19" t="e">
        <f>AND(#REF!,"AAAAAHvf3W8=")</f>
        <v>#REF!</v>
      </c>
      <c r="DI19" t="e">
        <f>IF(#REF!,"AAAAAHvf3XA=",0)</f>
        <v>#REF!</v>
      </c>
      <c r="DJ19" t="e">
        <f>AND(#REF!,"AAAAAHvf3XE=")</f>
        <v>#REF!</v>
      </c>
      <c r="DK19" t="e">
        <f>AND(#REF!,"AAAAAHvf3XI=")</f>
        <v>#REF!</v>
      </c>
      <c r="DL19" t="e">
        <f>AND(#REF!,"AAAAAHvf3XM=")</f>
        <v>#REF!</v>
      </c>
      <c r="DM19" t="e">
        <f>AND(#REF!,"AAAAAHvf3XQ=")</f>
        <v>#REF!</v>
      </c>
      <c r="DN19" t="e">
        <f>AND(#REF!,"AAAAAHvf3XU=")</f>
        <v>#REF!</v>
      </c>
      <c r="DO19" t="e">
        <f>AND(#REF!,"AAAAAHvf3XY=")</f>
        <v>#REF!</v>
      </c>
      <c r="DP19" t="e">
        <f>AND(#REF!,"AAAAAHvf3Xc=")</f>
        <v>#REF!</v>
      </c>
      <c r="DQ19" t="e">
        <f>AND(#REF!,"AAAAAHvf3Xg=")</f>
        <v>#REF!</v>
      </c>
      <c r="DR19" t="e">
        <f>AND(#REF!,"AAAAAHvf3Xk=")</f>
        <v>#REF!</v>
      </c>
      <c r="DS19" t="e">
        <f>AND(#REF!,"AAAAAHvf3Xo=")</f>
        <v>#REF!</v>
      </c>
      <c r="DT19" t="e">
        <f>AND(#REF!,"AAAAAHvf3Xs=")</f>
        <v>#REF!</v>
      </c>
      <c r="DU19" t="e">
        <f>AND(#REF!,"AAAAAHvf3Xw=")</f>
        <v>#REF!</v>
      </c>
      <c r="DV19" t="e">
        <f>AND(#REF!,"AAAAAHvf3X0=")</f>
        <v>#REF!</v>
      </c>
      <c r="DW19" t="e">
        <f>AND(#REF!,"AAAAAHvf3X4=")</f>
        <v>#REF!</v>
      </c>
      <c r="DX19" t="e">
        <f>AND(#REF!,"AAAAAHvf3X8=")</f>
        <v>#REF!</v>
      </c>
      <c r="DY19" t="e">
        <f>AND(#REF!,"AAAAAHvf3YA=")</f>
        <v>#REF!</v>
      </c>
      <c r="DZ19" t="e">
        <f>AND(#REF!,"AAAAAHvf3YE=")</f>
        <v>#REF!</v>
      </c>
      <c r="EA19" t="e">
        <f>AND(#REF!,"AAAAAHvf3YI=")</f>
        <v>#REF!</v>
      </c>
      <c r="EB19" t="e">
        <f>AND(#REF!,"AAAAAHvf3YM=")</f>
        <v>#REF!</v>
      </c>
      <c r="EC19" t="e">
        <f>IF(#REF!,"AAAAAHvf3YQ=",0)</f>
        <v>#REF!</v>
      </c>
      <c r="ED19" t="e">
        <f>AND(#REF!,"AAAAAHvf3YU=")</f>
        <v>#REF!</v>
      </c>
      <c r="EE19" t="e">
        <f>AND(#REF!,"AAAAAHvf3YY=")</f>
        <v>#REF!</v>
      </c>
      <c r="EF19" t="e">
        <f>AND(#REF!,"AAAAAHvf3Yc=")</f>
        <v>#REF!</v>
      </c>
      <c r="EG19" t="e">
        <f>AND(#REF!,"AAAAAHvf3Yg=")</f>
        <v>#REF!</v>
      </c>
      <c r="EH19" t="e">
        <f>AND(#REF!,"AAAAAHvf3Yk=")</f>
        <v>#REF!</v>
      </c>
      <c r="EI19" t="e">
        <f>AND(#REF!,"AAAAAHvf3Yo=")</f>
        <v>#REF!</v>
      </c>
      <c r="EJ19" t="e">
        <f>AND(#REF!,"AAAAAHvf3Ys=")</f>
        <v>#REF!</v>
      </c>
      <c r="EK19" t="e">
        <f>AND(#REF!,"AAAAAHvf3Yw=")</f>
        <v>#REF!</v>
      </c>
      <c r="EL19" t="e">
        <f>AND(#REF!,"AAAAAHvf3Y0=")</f>
        <v>#REF!</v>
      </c>
      <c r="EM19" t="e">
        <f>AND(#REF!,"AAAAAHvf3Y4=")</f>
        <v>#REF!</v>
      </c>
      <c r="EN19" t="e">
        <f>AND(#REF!,"AAAAAHvf3Y8=")</f>
        <v>#REF!</v>
      </c>
      <c r="EO19" t="e">
        <f>AND(#REF!,"AAAAAHvf3ZA=")</f>
        <v>#REF!</v>
      </c>
      <c r="EP19" t="e">
        <f>AND(#REF!,"AAAAAHvf3ZE=")</f>
        <v>#REF!</v>
      </c>
      <c r="EQ19" t="e">
        <f>AND(#REF!,"AAAAAHvf3ZI=")</f>
        <v>#REF!</v>
      </c>
      <c r="ER19" t="e">
        <f>AND(#REF!,"AAAAAHvf3ZM=")</f>
        <v>#REF!</v>
      </c>
      <c r="ES19" t="e">
        <f>AND(#REF!,"AAAAAHvf3ZQ=")</f>
        <v>#REF!</v>
      </c>
      <c r="ET19" t="e">
        <f>AND(#REF!,"AAAAAHvf3ZU=")</f>
        <v>#REF!</v>
      </c>
      <c r="EU19" t="e">
        <f>AND(#REF!,"AAAAAHvf3ZY=")</f>
        <v>#REF!</v>
      </c>
      <c r="EV19" t="e">
        <f>AND(#REF!,"AAAAAHvf3Zc=")</f>
        <v>#REF!</v>
      </c>
      <c r="EW19" t="e">
        <f>IF(#REF!,"AAAAAHvf3Zg=",0)</f>
        <v>#REF!</v>
      </c>
      <c r="EX19" t="e">
        <f>AND(#REF!,"AAAAAHvf3Zk=")</f>
        <v>#REF!</v>
      </c>
      <c r="EY19" t="e">
        <f>AND(#REF!,"AAAAAHvf3Zo=")</f>
        <v>#REF!</v>
      </c>
      <c r="EZ19" t="e">
        <f>AND(#REF!,"AAAAAHvf3Zs=")</f>
        <v>#REF!</v>
      </c>
      <c r="FA19" t="e">
        <f>AND(#REF!,"AAAAAHvf3Zw=")</f>
        <v>#REF!</v>
      </c>
      <c r="FB19" t="e">
        <f>AND(#REF!,"AAAAAHvf3Z0=")</f>
        <v>#REF!</v>
      </c>
      <c r="FC19" t="e">
        <f>AND(#REF!,"AAAAAHvf3Z4=")</f>
        <v>#REF!</v>
      </c>
      <c r="FD19" t="e">
        <f>AND(#REF!,"AAAAAHvf3Z8=")</f>
        <v>#REF!</v>
      </c>
      <c r="FE19" t="e">
        <f>AND(#REF!,"AAAAAHvf3aA=")</f>
        <v>#REF!</v>
      </c>
      <c r="FF19" t="e">
        <f>AND(#REF!,"AAAAAHvf3aE=")</f>
        <v>#REF!</v>
      </c>
      <c r="FG19" t="e">
        <f>AND(#REF!,"AAAAAHvf3aI=")</f>
        <v>#REF!</v>
      </c>
      <c r="FH19" t="e">
        <f>AND(#REF!,"AAAAAHvf3aM=")</f>
        <v>#REF!</v>
      </c>
      <c r="FI19" t="e">
        <f>AND(#REF!,"AAAAAHvf3aQ=")</f>
        <v>#REF!</v>
      </c>
      <c r="FJ19" t="e">
        <f>AND(#REF!,"AAAAAHvf3aU=")</f>
        <v>#REF!</v>
      </c>
      <c r="FK19" t="e">
        <f>AND(#REF!,"AAAAAHvf3aY=")</f>
        <v>#REF!</v>
      </c>
      <c r="FL19" t="e">
        <f>AND(#REF!,"AAAAAHvf3ac=")</f>
        <v>#REF!</v>
      </c>
      <c r="FM19" t="e">
        <f>AND(#REF!,"AAAAAHvf3ag=")</f>
        <v>#REF!</v>
      </c>
      <c r="FN19" t="e">
        <f>AND(#REF!,"AAAAAHvf3ak=")</f>
        <v>#REF!</v>
      </c>
      <c r="FO19" t="e">
        <f>AND(#REF!,"AAAAAHvf3ao=")</f>
        <v>#REF!</v>
      </c>
      <c r="FP19" t="e">
        <f>AND(#REF!,"AAAAAHvf3as=")</f>
        <v>#REF!</v>
      </c>
      <c r="FQ19" t="e">
        <f>IF(#REF!,"AAAAAHvf3aw=",0)</f>
        <v>#REF!</v>
      </c>
      <c r="FR19" t="e">
        <f>AND(#REF!,"AAAAAHvf3a0=")</f>
        <v>#REF!</v>
      </c>
      <c r="FS19" t="e">
        <f>AND(#REF!,"AAAAAHvf3a4=")</f>
        <v>#REF!</v>
      </c>
      <c r="FT19" t="e">
        <f>AND(#REF!,"AAAAAHvf3a8=")</f>
        <v>#REF!</v>
      </c>
      <c r="FU19" t="e">
        <f>AND(#REF!,"AAAAAHvf3bA=")</f>
        <v>#REF!</v>
      </c>
      <c r="FV19" t="e">
        <f>AND(#REF!,"AAAAAHvf3bE=")</f>
        <v>#REF!</v>
      </c>
      <c r="FW19" t="e">
        <f>AND(#REF!,"AAAAAHvf3bI=")</f>
        <v>#REF!</v>
      </c>
      <c r="FX19" t="e">
        <f>AND(#REF!,"AAAAAHvf3bM=")</f>
        <v>#REF!</v>
      </c>
      <c r="FY19" t="e">
        <f>AND(#REF!,"AAAAAHvf3bQ=")</f>
        <v>#REF!</v>
      </c>
      <c r="FZ19" t="e">
        <f>AND(#REF!,"AAAAAHvf3bU=")</f>
        <v>#REF!</v>
      </c>
      <c r="GA19" t="e">
        <f>AND(#REF!,"AAAAAHvf3bY=")</f>
        <v>#REF!</v>
      </c>
      <c r="GB19" t="e">
        <f>AND(#REF!,"AAAAAHvf3bc=")</f>
        <v>#REF!</v>
      </c>
      <c r="GC19" t="e">
        <f>AND(#REF!,"AAAAAHvf3bg=")</f>
        <v>#REF!</v>
      </c>
      <c r="GD19" t="e">
        <f>AND(#REF!,"AAAAAHvf3bk=")</f>
        <v>#REF!</v>
      </c>
      <c r="GE19" t="e">
        <f>AND(#REF!,"AAAAAHvf3bo=")</f>
        <v>#REF!</v>
      </c>
      <c r="GF19" t="e">
        <f>AND(#REF!,"AAAAAHvf3bs=")</f>
        <v>#REF!</v>
      </c>
      <c r="GG19" t="e">
        <f>AND(#REF!,"AAAAAHvf3bw=")</f>
        <v>#REF!</v>
      </c>
      <c r="GH19" t="e">
        <f>AND(#REF!,"AAAAAHvf3b0=")</f>
        <v>#REF!</v>
      </c>
      <c r="GI19" t="e">
        <f>AND(#REF!,"AAAAAHvf3b4=")</f>
        <v>#REF!</v>
      </c>
      <c r="GJ19" t="e">
        <f>AND(#REF!,"AAAAAHvf3b8=")</f>
        <v>#REF!</v>
      </c>
      <c r="GK19" t="e">
        <f>IF(#REF!,"AAAAAHvf3cA=",0)</f>
        <v>#REF!</v>
      </c>
      <c r="GL19" t="e">
        <f>AND(#REF!,"AAAAAHvf3cE=")</f>
        <v>#REF!</v>
      </c>
      <c r="GM19" t="e">
        <f>AND(#REF!,"AAAAAHvf3cI=")</f>
        <v>#REF!</v>
      </c>
      <c r="GN19" t="e">
        <f>AND(#REF!,"AAAAAHvf3cM=")</f>
        <v>#REF!</v>
      </c>
      <c r="GO19" t="e">
        <f>AND(#REF!,"AAAAAHvf3cQ=")</f>
        <v>#REF!</v>
      </c>
      <c r="GP19" t="e">
        <f>AND(#REF!,"AAAAAHvf3cU=")</f>
        <v>#REF!</v>
      </c>
      <c r="GQ19" t="e">
        <f>AND(#REF!,"AAAAAHvf3cY=")</f>
        <v>#REF!</v>
      </c>
      <c r="GR19" t="e">
        <f>AND(#REF!,"AAAAAHvf3cc=")</f>
        <v>#REF!</v>
      </c>
      <c r="GS19" t="e">
        <f>AND(#REF!,"AAAAAHvf3cg=")</f>
        <v>#REF!</v>
      </c>
      <c r="GT19" t="e">
        <f>AND(#REF!,"AAAAAHvf3ck=")</f>
        <v>#REF!</v>
      </c>
      <c r="GU19" t="e">
        <f>AND(#REF!,"AAAAAHvf3co=")</f>
        <v>#REF!</v>
      </c>
      <c r="GV19" t="e">
        <f>AND(#REF!,"AAAAAHvf3cs=")</f>
        <v>#REF!</v>
      </c>
      <c r="GW19" t="e">
        <f>AND(#REF!,"AAAAAHvf3cw=")</f>
        <v>#REF!</v>
      </c>
      <c r="GX19" t="e">
        <f>AND(#REF!,"AAAAAHvf3c0=")</f>
        <v>#REF!</v>
      </c>
      <c r="GY19" t="e">
        <f>AND(#REF!,"AAAAAHvf3c4=")</f>
        <v>#REF!</v>
      </c>
      <c r="GZ19" t="e">
        <f>AND(#REF!,"AAAAAHvf3c8=")</f>
        <v>#REF!</v>
      </c>
      <c r="HA19" t="e">
        <f>AND(#REF!,"AAAAAHvf3dA=")</f>
        <v>#REF!</v>
      </c>
      <c r="HB19" t="e">
        <f>AND(#REF!,"AAAAAHvf3dE=")</f>
        <v>#REF!</v>
      </c>
      <c r="HC19" t="e">
        <f>AND(#REF!,"AAAAAHvf3dI=")</f>
        <v>#REF!</v>
      </c>
      <c r="HD19" t="e">
        <f>AND(#REF!,"AAAAAHvf3dM=")</f>
        <v>#REF!</v>
      </c>
      <c r="HE19" t="e">
        <f>IF(#REF!,"AAAAAHvf3dQ=",0)</f>
        <v>#REF!</v>
      </c>
      <c r="HF19" t="e">
        <f>AND(#REF!,"AAAAAHvf3dU=")</f>
        <v>#REF!</v>
      </c>
      <c r="HG19" t="e">
        <f>AND(#REF!,"AAAAAHvf3dY=")</f>
        <v>#REF!</v>
      </c>
      <c r="HH19" t="e">
        <f>AND(#REF!,"AAAAAHvf3dc=")</f>
        <v>#REF!</v>
      </c>
      <c r="HI19" t="e">
        <f>AND(#REF!,"AAAAAHvf3dg=")</f>
        <v>#REF!</v>
      </c>
      <c r="HJ19" t="e">
        <f>AND(#REF!,"AAAAAHvf3dk=")</f>
        <v>#REF!</v>
      </c>
      <c r="HK19" t="e">
        <f>AND(#REF!,"AAAAAHvf3do=")</f>
        <v>#REF!</v>
      </c>
      <c r="HL19" t="e">
        <f>AND(#REF!,"AAAAAHvf3ds=")</f>
        <v>#REF!</v>
      </c>
      <c r="HM19" t="e">
        <f>AND(#REF!,"AAAAAHvf3dw=")</f>
        <v>#REF!</v>
      </c>
      <c r="HN19" t="e">
        <f>AND(#REF!,"AAAAAHvf3d0=")</f>
        <v>#REF!</v>
      </c>
      <c r="HO19" t="e">
        <f>AND(#REF!,"AAAAAHvf3d4=")</f>
        <v>#REF!</v>
      </c>
      <c r="HP19" t="e">
        <f>AND(#REF!,"AAAAAHvf3d8=")</f>
        <v>#REF!</v>
      </c>
      <c r="HQ19" t="e">
        <f>AND(#REF!,"AAAAAHvf3eA=")</f>
        <v>#REF!</v>
      </c>
      <c r="HR19" t="e">
        <f>AND(#REF!,"AAAAAHvf3eE=")</f>
        <v>#REF!</v>
      </c>
      <c r="HS19" t="e">
        <f>AND(#REF!,"AAAAAHvf3eI=")</f>
        <v>#REF!</v>
      </c>
      <c r="HT19" t="e">
        <f>AND(#REF!,"AAAAAHvf3eM=")</f>
        <v>#REF!</v>
      </c>
      <c r="HU19" t="e">
        <f>AND(#REF!,"AAAAAHvf3eQ=")</f>
        <v>#REF!</v>
      </c>
      <c r="HV19" t="e">
        <f>AND(#REF!,"AAAAAHvf3eU=")</f>
        <v>#REF!</v>
      </c>
      <c r="HW19" t="e">
        <f>AND(#REF!,"AAAAAHvf3eY=")</f>
        <v>#REF!</v>
      </c>
      <c r="HX19" t="e">
        <f>AND(#REF!,"AAAAAHvf3ec=")</f>
        <v>#REF!</v>
      </c>
      <c r="HY19" t="e">
        <f>IF(#REF!,"AAAAAHvf3eg=",0)</f>
        <v>#REF!</v>
      </c>
      <c r="HZ19" t="e">
        <f>AND(#REF!,"AAAAAHvf3ek=")</f>
        <v>#REF!</v>
      </c>
      <c r="IA19" t="e">
        <f>AND(#REF!,"AAAAAHvf3eo=")</f>
        <v>#REF!</v>
      </c>
      <c r="IB19" t="e">
        <f>AND(#REF!,"AAAAAHvf3es=")</f>
        <v>#REF!</v>
      </c>
      <c r="IC19" t="e">
        <f>AND(#REF!,"AAAAAHvf3ew=")</f>
        <v>#REF!</v>
      </c>
      <c r="ID19" t="e">
        <f>AND(#REF!,"AAAAAHvf3e0=")</f>
        <v>#REF!</v>
      </c>
      <c r="IE19" t="e">
        <f>AND(#REF!,"AAAAAHvf3e4=")</f>
        <v>#REF!</v>
      </c>
      <c r="IF19" t="e">
        <f>AND(#REF!,"AAAAAHvf3e8=")</f>
        <v>#REF!</v>
      </c>
      <c r="IG19" t="e">
        <f>AND(#REF!,"AAAAAHvf3fA=")</f>
        <v>#REF!</v>
      </c>
      <c r="IH19" t="e">
        <f>AND(#REF!,"AAAAAHvf3fE=")</f>
        <v>#REF!</v>
      </c>
      <c r="II19" t="e">
        <f>AND(#REF!,"AAAAAHvf3fI=")</f>
        <v>#REF!</v>
      </c>
      <c r="IJ19" t="e">
        <f>AND(#REF!,"AAAAAHvf3fM=")</f>
        <v>#REF!</v>
      </c>
      <c r="IK19" t="e">
        <f>AND(#REF!,"AAAAAHvf3fQ=")</f>
        <v>#REF!</v>
      </c>
      <c r="IL19" t="e">
        <f>AND(#REF!,"AAAAAHvf3fU=")</f>
        <v>#REF!</v>
      </c>
      <c r="IM19" t="e">
        <f>AND(#REF!,"AAAAAHvf3fY=")</f>
        <v>#REF!</v>
      </c>
      <c r="IN19" t="e">
        <f>AND(#REF!,"AAAAAHvf3fc=")</f>
        <v>#REF!</v>
      </c>
      <c r="IO19" t="e">
        <f>AND(#REF!,"AAAAAHvf3fg=")</f>
        <v>#REF!</v>
      </c>
      <c r="IP19" t="e">
        <f>AND(#REF!,"AAAAAHvf3fk=")</f>
        <v>#REF!</v>
      </c>
      <c r="IQ19" t="e">
        <f>AND(#REF!,"AAAAAHvf3fo=")</f>
        <v>#REF!</v>
      </c>
      <c r="IR19" t="e">
        <f>AND(#REF!,"AAAAAHvf3fs=")</f>
        <v>#REF!</v>
      </c>
      <c r="IS19" t="e">
        <f>IF(#REF!,"AAAAAHvf3fw=",0)</f>
        <v>#REF!</v>
      </c>
      <c r="IT19" t="e">
        <f>AND(#REF!,"AAAAAHvf3f0=")</f>
        <v>#REF!</v>
      </c>
      <c r="IU19" t="e">
        <f>AND(#REF!,"AAAAAHvf3f4=")</f>
        <v>#REF!</v>
      </c>
      <c r="IV19" t="e">
        <f>AND(#REF!,"AAAAAHvf3f8=")</f>
        <v>#REF!</v>
      </c>
    </row>
    <row r="20" spans="1:256" x14ac:dyDescent="0.15">
      <c r="A20" t="e">
        <f>AND(#REF!,"AAAAADd/5gA=")</f>
        <v>#REF!</v>
      </c>
      <c r="B20" t="e">
        <f>AND(#REF!,"AAAAADd/5gE=")</f>
        <v>#REF!</v>
      </c>
      <c r="C20" t="e">
        <f>AND(#REF!,"AAAAADd/5gI=")</f>
        <v>#REF!</v>
      </c>
      <c r="D20" t="e">
        <f>AND(#REF!,"AAAAADd/5gM=")</f>
        <v>#REF!</v>
      </c>
      <c r="E20" t="e">
        <f>AND(#REF!,"AAAAADd/5gQ=")</f>
        <v>#REF!</v>
      </c>
      <c r="F20" t="e">
        <f>AND(#REF!,"AAAAADd/5gU=")</f>
        <v>#REF!</v>
      </c>
      <c r="G20" t="e">
        <f>AND(#REF!,"AAAAADd/5gY=")</f>
        <v>#REF!</v>
      </c>
      <c r="H20" t="e">
        <f>AND(#REF!,"AAAAADd/5gc=")</f>
        <v>#REF!</v>
      </c>
      <c r="I20" t="e">
        <f>AND(#REF!,"AAAAADd/5gg=")</f>
        <v>#REF!</v>
      </c>
      <c r="J20" t="e">
        <f>AND(#REF!,"AAAAADd/5gk=")</f>
        <v>#REF!</v>
      </c>
      <c r="K20" t="e">
        <f>AND(#REF!,"AAAAADd/5go=")</f>
        <v>#REF!</v>
      </c>
      <c r="L20" t="e">
        <f>AND(#REF!,"AAAAADd/5gs=")</f>
        <v>#REF!</v>
      </c>
      <c r="M20" t="e">
        <f>AND(#REF!,"AAAAADd/5gw=")</f>
        <v>#REF!</v>
      </c>
      <c r="N20" t="e">
        <f>AND(#REF!,"AAAAADd/5g0=")</f>
        <v>#REF!</v>
      </c>
      <c r="O20" t="e">
        <f>AND(#REF!,"AAAAADd/5g4=")</f>
        <v>#REF!</v>
      </c>
      <c r="P20" t="e">
        <f>AND(#REF!,"AAAAADd/5g8=")</f>
        <v>#REF!</v>
      </c>
      <c r="Q20" t="e">
        <f>IF(#REF!,"AAAAADd/5hA=",0)</f>
        <v>#REF!</v>
      </c>
      <c r="R20" t="e">
        <f>AND(#REF!,"AAAAADd/5hE=")</f>
        <v>#REF!</v>
      </c>
      <c r="S20" t="e">
        <f>AND(#REF!,"AAAAADd/5hI=")</f>
        <v>#REF!</v>
      </c>
      <c r="T20" t="e">
        <f>AND(#REF!,"AAAAADd/5hM=")</f>
        <v>#REF!</v>
      </c>
      <c r="U20" t="e">
        <f>AND(#REF!,"AAAAADd/5hQ=")</f>
        <v>#REF!</v>
      </c>
      <c r="V20" t="e">
        <f>AND(#REF!,"AAAAADd/5hU=")</f>
        <v>#REF!</v>
      </c>
      <c r="W20" t="e">
        <f>AND(#REF!,"AAAAADd/5hY=")</f>
        <v>#REF!</v>
      </c>
      <c r="X20" t="e">
        <f>AND(#REF!,"AAAAADd/5hc=")</f>
        <v>#REF!</v>
      </c>
      <c r="Y20" t="e">
        <f>AND(#REF!,"AAAAADd/5hg=")</f>
        <v>#REF!</v>
      </c>
      <c r="Z20" t="e">
        <f>AND(#REF!,"AAAAADd/5hk=")</f>
        <v>#REF!</v>
      </c>
      <c r="AA20" t="e">
        <f>AND(#REF!,"AAAAADd/5ho=")</f>
        <v>#REF!</v>
      </c>
      <c r="AB20" t="e">
        <f>AND(#REF!,"AAAAADd/5hs=")</f>
        <v>#REF!</v>
      </c>
      <c r="AC20" t="e">
        <f>AND(#REF!,"AAAAADd/5hw=")</f>
        <v>#REF!</v>
      </c>
      <c r="AD20" t="e">
        <f>AND(#REF!,"AAAAADd/5h0=")</f>
        <v>#REF!</v>
      </c>
      <c r="AE20" t="e">
        <f>AND(#REF!,"AAAAADd/5h4=")</f>
        <v>#REF!</v>
      </c>
      <c r="AF20" t="e">
        <f>AND(#REF!,"AAAAADd/5h8=")</f>
        <v>#REF!</v>
      </c>
      <c r="AG20" t="e">
        <f>AND(#REF!,"AAAAADd/5iA=")</f>
        <v>#REF!</v>
      </c>
      <c r="AH20" t="e">
        <f>AND(#REF!,"AAAAADd/5iE=")</f>
        <v>#REF!</v>
      </c>
      <c r="AI20" t="e">
        <f>AND(#REF!,"AAAAADd/5iI=")</f>
        <v>#REF!</v>
      </c>
      <c r="AJ20" t="e">
        <f>AND(#REF!,"AAAAADd/5iM=")</f>
        <v>#REF!</v>
      </c>
      <c r="AK20" t="e">
        <f>IF(#REF!,"AAAAADd/5iQ=",0)</f>
        <v>#REF!</v>
      </c>
      <c r="AL20" t="e">
        <f>AND(#REF!,"AAAAADd/5iU=")</f>
        <v>#REF!</v>
      </c>
      <c r="AM20" t="e">
        <f>AND(#REF!,"AAAAADd/5iY=")</f>
        <v>#REF!</v>
      </c>
      <c r="AN20" t="e">
        <f>AND(#REF!,"AAAAADd/5ic=")</f>
        <v>#REF!</v>
      </c>
      <c r="AO20" t="e">
        <f>AND(#REF!,"AAAAADd/5ig=")</f>
        <v>#REF!</v>
      </c>
      <c r="AP20" t="e">
        <f>AND(#REF!,"AAAAADd/5ik=")</f>
        <v>#REF!</v>
      </c>
      <c r="AQ20" t="e">
        <f>AND(#REF!,"AAAAADd/5io=")</f>
        <v>#REF!</v>
      </c>
      <c r="AR20" t="e">
        <f>AND(#REF!,"AAAAADd/5is=")</f>
        <v>#REF!</v>
      </c>
      <c r="AS20" t="e">
        <f>AND(#REF!,"AAAAADd/5iw=")</f>
        <v>#REF!</v>
      </c>
      <c r="AT20" t="e">
        <f>AND(#REF!,"AAAAADd/5i0=")</f>
        <v>#REF!</v>
      </c>
      <c r="AU20" t="e">
        <f>AND(#REF!,"AAAAADd/5i4=")</f>
        <v>#REF!</v>
      </c>
      <c r="AV20" t="e">
        <f>AND(#REF!,"AAAAADd/5i8=")</f>
        <v>#REF!</v>
      </c>
      <c r="AW20" t="e">
        <f>AND(#REF!,"AAAAADd/5jA=")</f>
        <v>#REF!</v>
      </c>
      <c r="AX20" t="e">
        <f>AND(#REF!,"AAAAADd/5jE=")</f>
        <v>#REF!</v>
      </c>
      <c r="AY20" t="e">
        <f>AND(#REF!,"AAAAADd/5jI=")</f>
        <v>#REF!</v>
      </c>
      <c r="AZ20" t="e">
        <f>AND(#REF!,"AAAAADd/5jM=")</f>
        <v>#REF!</v>
      </c>
      <c r="BA20" t="e">
        <f>AND(#REF!,"AAAAADd/5jQ=")</f>
        <v>#REF!</v>
      </c>
      <c r="BB20" t="e">
        <f>AND(#REF!,"AAAAADd/5jU=")</f>
        <v>#REF!</v>
      </c>
      <c r="BC20" t="e">
        <f>AND(#REF!,"AAAAADd/5jY=")</f>
        <v>#REF!</v>
      </c>
      <c r="BD20" t="e">
        <f>AND(#REF!,"AAAAADd/5jc=")</f>
        <v>#REF!</v>
      </c>
      <c r="BE20" t="e">
        <f>IF(#REF!,"AAAAADd/5jg=",0)</f>
        <v>#REF!</v>
      </c>
      <c r="BF20" t="e">
        <f>AND(#REF!,"AAAAADd/5jk=")</f>
        <v>#REF!</v>
      </c>
      <c r="BG20" t="e">
        <f>AND(#REF!,"AAAAADd/5jo=")</f>
        <v>#REF!</v>
      </c>
      <c r="BH20" t="e">
        <f>AND(#REF!,"AAAAADd/5js=")</f>
        <v>#REF!</v>
      </c>
      <c r="BI20" t="e">
        <f>AND(#REF!,"AAAAADd/5jw=")</f>
        <v>#REF!</v>
      </c>
      <c r="BJ20" t="e">
        <f>AND(#REF!,"AAAAADd/5j0=")</f>
        <v>#REF!</v>
      </c>
      <c r="BK20" t="e">
        <f>AND(#REF!,"AAAAADd/5j4=")</f>
        <v>#REF!</v>
      </c>
      <c r="BL20" t="e">
        <f>AND(#REF!,"AAAAADd/5j8=")</f>
        <v>#REF!</v>
      </c>
      <c r="BM20" t="e">
        <f>AND(#REF!,"AAAAADd/5kA=")</f>
        <v>#REF!</v>
      </c>
      <c r="BN20" t="e">
        <f>AND(#REF!,"AAAAADd/5kE=")</f>
        <v>#REF!</v>
      </c>
      <c r="BO20" t="e">
        <f>AND(#REF!,"AAAAADd/5kI=")</f>
        <v>#REF!</v>
      </c>
      <c r="BP20" t="e">
        <f>AND(#REF!,"AAAAADd/5kM=")</f>
        <v>#REF!</v>
      </c>
      <c r="BQ20" t="e">
        <f>AND(#REF!,"AAAAADd/5kQ=")</f>
        <v>#REF!</v>
      </c>
      <c r="BR20" t="e">
        <f>AND(#REF!,"AAAAADd/5kU=")</f>
        <v>#REF!</v>
      </c>
      <c r="BS20" t="e">
        <f>AND(#REF!,"AAAAADd/5kY=")</f>
        <v>#REF!</v>
      </c>
      <c r="BT20" t="e">
        <f>AND(#REF!,"AAAAADd/5kc=")</f>
        <v>#REF!</v>
      </c>
      <c r="BU20" t="e">
        <f>AND(#REF!,"AAAAADd/5kg=")</f>
        <v>#REF!</v>
      </c>
      <c r="BV20" t="e">
        <f>AND(#REF!,"AAAAADd/5kk=")</f>
        <v>#REF!</v>
      </c>
      <c r="BW20" t="e">
        <f>AND(#REF!,"AAAAADd/5ko=")</f>
        <v>#REF!</v>
      </c>
      <c r="BX20" t="e">
        <f>AND(#REF!,"AAAAADd/5ks=")</f>
        <v>#REF!</v>
      </c>
      <c r="BY20" t="e">
        <f>IF(#REF!,"AAAAADd/5kw=",0)</f>
        <v>#REF!</v>
      </c>
      <c r="BZ20" t="e">
        <f>AND(#REF!,"AAAAADd/5k0=")</f>
        <v>#REF!</v>
      </c>
      <c r="CA20" t="e">
        <f>AND(#REF!,"AAAAADd/5k4=")</f>
        <v>#REF!</v>
      </c>
      <c r="CB20" t="e">
        <f>AND(#REF!,"AAAAADd/5k8=")</f>
        <v>#REF!</v>
      </c>
      <c r="CC20" t="e">
        <f>AND(#REF!,"AAAAADd/5lA=")</f>
        <v>#REF!</v>
      </c>
      <c r="CD20" t="e">
        <f>AND(#REF!,"AAAAADd/5lE=")</f>
        <v>#REF!</v>
      </c>
      <c r="CE20" t="e">
        <f>AND(#REF!,"AAAAADd/5lI=")</f>
        <v>#REF!</v>
      </c>
      <c r="CF20" t="e">
        <f>AND(#REF!,"AAAAADd/5lM=")</f>
        <v>#REF!</v>
      </c>
      <c r="CG20" t="e">
        <f>AND(#REF!,"AAAAADd/5lQ=")</f>
        <v>#REF!</v>
      </c>
      <c r="CH20" t="e">
        <f>AND(#REF!,"AAAAADd/5lU=")</f>
        <v>#REF!</v>
      </c>
      <c r="CI20" t="e">
        <f>AND(#REF!,"AAAAADd/5lY=")</f>
        <v>#REF!</v>
      </c>
      <c r="CJ20" t="e">
        <f>AND(#REF!,"AAAAADd/5lc=")</f>
        <v>#REF!</v>
      </c>
      <c r="CK20" t="e">
        <f>AND(#REF!,"AAAAADd/5lg=")</f>
        <v>#REF!</v>
      </c>
      <c r="CL20" t="e">
        <f>AND(#REF!,"AAAAADd/5lk=")</f>
        <v>#REF!</v>
      </c>
      <c r="CM20" t="e">
        <f>AND(#REF!,"AAAAADd/5lo=")</f>
        <v>#REF!</v>
      </c>
      <c r="CN20" t="e">
        <f>AND(#REF!,"AAAAADd/5ls=")</f>
        <v>#REF!</v>
      </c>
      <c r="CO20" t="e">
        <f>AND(#REF!,"AAAAADd/5lw=")</f>
        <v>#REF!</v>
      </c>
      <c r="CP20" t="e">
        <f>AND(#REF!,"AAAAADd/5l0=")</f>
        <v>#REF!</v>
      </c>
      <c r="CQ20" t="e">
        <f>AND(#REF!,"AAAAADd/5l4=")</f>
        <v>#REF!</v>
      </c>
      <c r="CR20" t="e">
        <f>AND(#REF!,"AAAAADd/5l8=")</f>
        <v>#REF!</v>
      </c>
      <c r="CS20" t="e">
        <f>IF(#REF!,"AAAAADd/5mA=",0)</f>
        <v>#REF!</v>
      </c>
      <c r="CT20" t="e">
        <f>AND(#REF!,"AAAAADd/5mE=")</f>
        <v>#REF!</v>
      </c>
      <c r="CU20" t="e">
        <f>AND(#REF!,"AAAAADd/5mI=")</f>
        <v>#REF!</v>
      </c>
      <c r="CV20" t="e">
        <f>AND(#REF!,"AAAAADd/5mM=")</f>
        <v>#REF!</v>
      </c>
      <c r="CW20" t="e">
        <f>AND(#REF!,"AAAAADd/5mQ=")</f>
        <v>#REF!</v>
      </c>
      <c r="CX20" t="e">
        <f>AND(#REF!,"AAAAADd/5mU=")</f>
        <v>#REF!</v>
      </c>
      <c r="CY20" t="e">
        <f>AND(#REF!,"AAAAADd/5mY=")</f>
        <v>#REF!</v>
      </c>
      <c r="CZ20" t="e">
        <f>AND(#REF!,"AAAAADd/5mc=")</f>
        <v>#REF!</v>
      </c>
      <c r="DA20" t="e">
        <f>AND(#REF!,"AAAAADd/5mg=")</f>
        <v>#REF!</v>
      </c>
      <c r="DB20" t="e">
        <f>AND(#REF!,"AAAAADd/5mk=")</f>
        <v>#REF!</v>
      </c>
      <c r="DC20" t="e">
        <f>AND(#REF!,"AAAAADd/5mo=")</f>
        <v>#REF!</v>
      </c>
      <c r="DD20" t="e">
        <f>AND(#REF!,"AAAAADd/5ms=")</f>
        <v>#REF!</v>
      </c>
      <c r="DE20" t="e">
        <f>AND(#REF!,"AAAAADd/5mw=")</f>
        <v>#REF!</v>
      </c>
      <c r="DF20" t="e">
        <f>AND(#REF!,"AAAAADd/5m0=")</f>
        <v>#REF!</v>
      </c>
      <c r="DG20" t="e">
        <f>AND(#REF!,"AAAAADd/5m4=")</f>
        <v>#REF!</v>
      </c>
      <c r="DH20" t="e">
        <f>AND(#REF!,"AAAAADd/5m8=")</f>
        <v>#REF!</v>
      </c>
      <c r="DI20" t="e">
        <f>AND(#REF!,"AAAAADd/5nA=")</f>
        <v>#REF!</v>
      </c>
      <c r="DJ20" t="e">
        <f>AND(#REF!,"AAAAADd/5nE=")</f>
        <v>#REF!</v>
      </c>
      <c r="DK20" t="e">
        <f>AND(#REF!,"AAAAADd/5nI=")</f>
        <v>#REF!</v>
      </c>
      <c r="DL20" t="e">
        <f>AND(#REF!,"AAAAADd/5nM=")</f>
        <v>#REF!</v>
      </c>
      <c r="DM20" t="e">
        <f>IF(#REF!,"AAAAADd/5nQ=",0)</f>
        <v>#REF!</v>
      </c>
      <c r="DN20" t="e">
        <f>AND(#REF!,"AAAAADd/5nU=")</f>
        <v>#REF!</v>
      </c>
      <c r="DO20" t="e">
        <f>AND(#REF!,"AAAAADd/5nY=")</f>
        <v>#REF!</v>
      </c>
      <c r="DP20" t="e">
        <f>AND(#REF!,"AAAAADd/5nc=")</f>
        <v>#REF!</v>
      </c>
      <c r="DQ20" t="e">
        <f>AND(#REF!,"AAAAADd/5ng=")</f>
        <v>#REF!</v>
      </c>
      <c r="DR20" t="e">
        <f>AND(#REF!,"AAAAADd/5nk=")</f>
        <v>#REF!</v>
      </c>
      <c r="DS20" t="e">
        <f>AND(#REF!,"AAAAADd/5no=")</f>
        <v>#REF!</v>
      </c>
      <c r="DT20" t="e">
        <f>AND(#REF!,"AAAAADd/5ns=")</f>
        <v>#REF!</v>
      </c>
      <c r="DU20" t="e">
        <f>AND(#REF!,"AAAAADd/5nw=")</f>
        <v>#REF!</v>
      </c>
      <c r="DV20" t="e">
        <f>AND(#REF!,"AAAAADd/5n0=")</f>
        <v>#REF!</v>
      </c>
      <c r="DW20" t="e">
        <f>AND(#REF!,"AAAAADd/5n4=")</f>
        <v>#REF!</v>
      </c>
      <c r="DX20" t="e">
        <f>AND(#REF!,"AAAAADd/5n8=")</f>
        <v>#REF!</v>
      </c>
      <c r="DY20" t="e">
        <f>AND(#REF!,"AAAAADd/5oA=")</f>
        <v>#REF!</v>
      </c>
      <c r="DZ20" t="e">
        <f>AND(#REF!,"AAAAADd/5oE=")</f>
        <v>#REF!</v>
      </c>
      <c r="EA20" t="e">
        <f>AND(#REF!,"AAAAADd/5oI=")</f>
        <v>#REF!</v>
      </c>
      <c r="EB20" t="e">
        <f>AND(#REF!,"AAAAADd/5oM=")</f>
        <v>#REF!</v>
      </c>
      <c r="EC20" t="e">
        <f>AND(#REF!,"AAAAADd/5oQ=")</f>
        <v>#REF!</v>
      </c>
      <c r="ED20" t="e">
        <f>AND(#REF!,"AAAAADd/5oU=")</f>
        <v>#REF!</v>
      </c>
      <c r="EE20" t="e">
        <f>AND(#REF!,"AAAAADd/5oY=")</f>
        <v>#REF!</v>
      </c>
      <c r="EF20" t="e">
        <f>AND(#REF!,"AAAAADd/5oc=")</f>
        <v>#REF!</v>
      </c>
      <c r="EG20" t="e">
        <f>IF(#REF!,"AAAAADd/5og=",0)</f>
        <v>#REF!</v>
      </c>
      <c r="EH20" t="e">
        <f>AND(#REF!,"AAAAADd/5ok=")</f>
        <v>#REF!</v>
      </c>
      <c r="EI20" t="e">
        <f>AND(#REF!,"AAAAADd/5oo=")</f>
        <v>#REF!</v>
      </c>
      <c r="EJ20" t="e">
        <f>AND(#REF!,"AAAAADd/5os=")</f>
        <v>#REF!</v>
      </c>
      <c r="EK20" t="e">
        <f>AND(#REF!,"AAAAADd/5ow=")</f>
        <v>#REF!</v>
      </c>
      <c r="EL20" t="e">
        <f>AND(#REF!,"AAAAADd/5o0=")</f>
        <v>#REF!</v>
      </c>
      <c r="EM20" t="e">
        <f>AND(#REF!,"AAAAADd/5o4=")</f>
        <v>#REF!</v>
      </c>
      <c r="EN20" t="e">
        <f>AND(#REF!,"AAAAADd/5o8=")</f>
        <v>#REF!</v>
      </c>
      <c r="EO20" t="e">
        <f>AND(#REF!,"AAAAADd/5pA=")</f>
        <v>#REF!</v>
      </c>
      <c r="EP20" t="e">
        <f>AND(#REF!,"AAAAADd/5pE=")</f>
        <v>#REF!</v>
      </c>
      <c r="EQ20" t="e">
        <f>AND(#REF!,"AAAAADd/5pI=")</f>
        <v>#REF!</v>
      </c>
      <c r="ER20" t="e">
        <f>AND(#REF!,"AAAAADd/5pM=")</f>
        <v>#REF!</v>
      </c>
      <c r="ES20" t="e">
        <f>AND(#REF!,"AAAAADd/5pQ=")</f>
        <v>#REF!</v>
      </c>
      <c r="ET20" t="e">
        <f>AND(#REF!,"AAAAADd/5pU=")</f>
        <v>#REF!</v>
      </c>
      <c r="EU20" t="e">
        <f>AND(#REF!,"AAAAADd/5pY=")</f>
        <v>#REF!</v>
      </c>
      <c r="EV20" t="e">
        <f>AND(#REF!,"AAAAADd/5pc=")</f>
        <v>#REF!</v>
      </c>
      <c r="EW20" t="e">
        <f>AND(#REF!,"AAAAADd/5pg=")</f>
        <v>#REF!</v>
      </c>
      <c r="EX20" t="e">
        <f>AND(#REF!,"AAAAADd/5pk=")</f>
        <v>#REF!</v>
      </c>
      <c r="EY20" t="e">
        <f>AND(#REF!,"AAAAADd/5po=")</f>
        <v>#REF!</v>
      </c>
      <c r="EZ20" t="e">
        <f>AND(#REF!,"AAAAADd/5ps=")</f>
        <v>#REF!</v>
      </c>
      <c r="FA20" t="e">
        <f>IF(#REF!,"AAAAADd/5pw=",0)</f>
        <v>#REF!</v>
      </c>
      <c r="FB20" t="e">
        <f>AND(#REF!,"AAAAADd/5p0=")</f>
        <v>#REF!</v>
      </c>
      <c r="FC20" t="e">
        <f>AND(#REF!,"AAAAADd/5p4=")</f>
        <v>#REF!</v>
      </c>
      <c r="FD20" t="e">
        <f>AND(#REF!,"AAAAADd/5p8=")</f>
        <v>#REF!</v>
      </c>
      <c r="FE20" t="e">
        <f>AND(#REF!,"AAAAADd/5qA=")</f>
        <v>#REF!</v>
      </c>
      <c r="FF20" t="e">
        <f>AND(#REF!,"AAAAADd/5qE=")</f>
        <v>#REF!</v>
      </c>
      <c r="FG20" t="e">
        <f>AND(#REF!,"AAAAADd/5qI=")</f>
        <v>#REF!</v>
      </c>
      <c r="FH20" t="e">
        <f>AND(#REF!,"AAAAADd/5qM=")</f>
        <v>#REF!</v>
      </c>
      <c r="FI20" t="e">
        <f>AND(#REF!,"AAAAADd/5qQ=")</f>
        <v>#REF!</v>
      </c>
      <c r="FJ20" t="e">
        <f>AND(#REF!,"AAAAADd/5qU=")</f>
        <v>#REF!</v>
      </c>
      <c r="FK20" t="e">
        <f>AND(#REF!,"AAAAADd/5qY=")</f>
        <v>#REF!</v>
      </c>
      <c r="FL20" t="e">
        <f>AND(#REF!,"AAAAADd/5qc=")</f>
        <v>#REF!</v>
      </c>
      <c r="FM20" t="e">
        <f>AND(#REF!,"AAAAADd/5qg=")</f>
        <v>#REF!</v>
      </c>
      <c r="FN20" t="e">
        <f>AND(#REF!,"AAAAADd/5qk=")</f>
        <v>#REF!</v>
      </c>
      <c r="FO20" t="e">
        <f>AND(#REF!,"AAAAADd/5qo=")</f>
        <v>#REF!</v>
      </c>
      <c r="FP20" t="e">
        <f>AND(#REF!,"AAAAADd/5qs=")</f>
        <v>#REF!</v>
      </c>
      <c r="FQ20" t="e">
        <f>AND(#REF!,"AAAAADd/5qw=")</f>
        <v>#REF!</v>
      </c>
      <c r="FR20" t="e">
        <f>AND(#REF!,"AAAAADd/5q0=")</f>
        <v>#REF!</v>
      </c>
      <c r="FS20" t="e">
        <f>AND(#REF!,"AAAAADd/5q4=")</f>
        <v>#REF!</v>
      </c>
      <c r="FT20" t="e">
        <f>AND(#REF!,"AAAAADd/5q8=")</f>
        <v>#REF!</v>
      </c>
      <c r="FU20" t="e">
        <f>IF(#REF!,"AAAAADd/5rA=",0)</f>
        <v>#REF!</v>
      </c>
      <c r="FV20" t="e">
        <f>AND(#REF!,"AAAAADd/5rE=")</f>
        <v>#REF!</v>
      </c>
      <c r="FW20" t="e">
        <f>AND(#REF!,"AAAAADd/5rI=")</f>
        <v>#REF!</v>
      </c>
      <c r="FX20" t="e">
        <f>AND(#REF!,"AAAAADd/5rM=")</f>
        <v>#REF!</v>
      </c>
      <c r="FY20" t="e">
        <f>AND(#REF!,"AAAAADd/5rQ=")</f>
        <v>#REF!</v>
      </c>
      <c r="FZ20" t="e">
        <f>AND(#REF!,"AAAAADd/5rU=")</f>
        <v>#REF!</v>
      </c>
      <c r="GA20" t="e">
        <f>AND(#REF!,"AAAAADd/5rY=")</f>
        <v>#REF!</v>
      </c>
      <c r="GB20" t="e">
        <f>AND(#REF!,"AAAAADd/5rc=")</f>
        <v>#REF!</v>
      </c>
      <c r="GC20" t="e">
        <f>AND(#REF!,"AAAAADd/5rg=")</f>
        <v>#REF!</v>
      </c>
      <c r="GD20" t="e">
        <f>AND(#REF!,"AAAAADd/5rk=")</f>
        <v>#REF!</v>
      </c>
      <c r="GE20" t="e">
        <f>AND(#REF!,"AAAAADd/5ro=")</f>
        <v>#REF!</v>
      </c>
      <c r="GF20" t="e">
        <f>AND(#REF!,"AAAAADd/5rs=")</f>
        <v>#REF!</v>
      </c>
      <c r="GG20" t="e">
        <f>AND(#REF!,"AAAAADd/5rw=")</f>
        <v>#REF!</v>
      </c>
      <c r="GH20" t="e">
        <f>AND(#REF!,"AAAAADd/5r0=")</f>
        <v>#REF!</v>
      </c>
      <c r="GI20" t="e">
        <f>AND(#REF!,"AAAAADd/5r4=")</f>
        <v>#REF!</v>
      </c>
      <c r="GJ20" t="e">
        <f>AND(#REF!,"AAAAADd/5r8=")</f>
        <v>#REF!</v>
      </c>
      <c r="GK20" t="e">
        <f>AND(#REF!,"AAAAADd/5sA=")</f>
        <v>#REF!</v>
      </c>
      <c r="GL20" t="e">
        <f>AND(#REF!,"AAAAADd/5sE=")</f>
        <v>#REF!</v>
      </c>
      <c r="GM20" t="e">
        <f>AND(#REF!,"AAAAADd/5sI=")</f>
        <v>#REF!</v>
      </c>
      <c r="GN20" t="e">
        <f>AND(#REF!,"AAAAADd/5sM=")</f>
        <v>#REF!</v>
      </c>
      <c r="GO20" t="e">
        <f>IF(#REF!,"AAAAADd/5sQ=",0)</f>
        <v>#REF!</v>
      </c>
      <c r="GP20" t="e">
        <f>AND(#REF!,"AAAAADd/5sU=")</f>
        <v>#REF!</v>
      </c>
      <c r="GQ20" t="e">
        <f>AND(#REF!,"AAAAADd/5sY=")</f>
        <v>#REF!</v>
      </c>
      <c r="GR20" t="e">
        <f>AND(#REF!,"AAAAADd/5sc=")</f>
        <v>#REF!</v>
      </c>
      <c r="GS20" t="e">
        <f>AND(#REF!,"AAAAADd/5sg=")</f>
        <v>#REF!</v>
      </c>
      <c r="GT20" t="e">
        <f>AND(#REF!,"AAAAADd/5sk=")</f>
        <v>#REF!</v>
      </c>
      <c r="GU20" t="e">
        <f>AND(#REF!,"AAAAADd/5so=")</f>
        <v>#REF!</v>
      </c>
      <c r="GV20" t="e">
        <f>AND(#REF!,"AAAAADd/5ss=")</f>
        <v>#REF!</v>
      </c>
      <c r="GW20" t="e">
        <f>AND(#REF!,"AAAAADd/5sw=")</f>
        <v>#REF!</v>
      </c>
      <c r="GX20" t="e">
        <f>AND(#REF!,"AAAAADd/5s0=")</f>
        <v>#REF!</v>
      </c>
      <c r="GY20" t="e">
        <f>AND(#REF!,"AAAAADd/5s4=")</f>
        <v>#REF!</v>
      </c>
      <c r="GZ20" t="e">
        <f>AND(#REF!,"AAAAADd/5s8=")</f>
        <v>#REF!</v>
      </c>
      <c r="HA20" t="e">
        <f>AND(#REF!,"AAAAADd/5tA=")</f>
        <v>#REF!</v>
      </c>
      <c r="HB20" t="e">
        <f>AND(#REF!,"AAAAADd/5tE=")</f>
        <v>#REF!</v>
      </c>
      <c r="HC20" t="e">
        <f>AND(#REF!,"AAAAADd/5tI=")</f>
        <v>#REF!</v>
      </c>
      <c r="HD20" t="e">
        <f>AND(#REF!,"AAAAADd/5tM=")</f>
        <v>#REF!</v>
      </c>
      <c r="HE20" t="e">
        <f>AND(#REF!,"AAAAADd/5tQ=")</f>
        <v>#REF!</v>
      </c>
      <c r="HF20" t="e">
        <f>AND(#REF!,"AAAAADd/5tU=")</f>
        <v>#REF!</v>
      </c>
      <c r="HG20" t="e">
        <f>AND(#REF!,"AAAAADd/5tY=")</f>
        <v>#REF!</v>
      </c>
      <c r="HH20" t="e">
        <f>AND(#REF!,"AAAAADd/5tc=")</f>
        <v>#REF!</v>
      </c>
      <c r="HI20" t="e">
        <f>IF(#REF!,"AAAAADd/5tg=",0)</f>
        <v>#REF!</v>
      </c>
      <c r="HJ20" t="e">
        <f>AND(#REF!,"AAAAADd/5tk=")</f>
        <v>#REF!</v>
      </c>
      <c r="HK20" t="e">
        <f>AND(#REF!,"AAAAADd/5to=")</f>
        <v>#REF!</v>
      </c>
      <c r="HL20" t="e">
        <f>AND(#REF!,"AAAAADd/5ts=")</f>
        <v>#REF!</v>
      </c>
      <c r="HM20" t="e">
        <f>AND(#REF!,"AAAAADd/5tw=")</f>
        <v>#REF!</v>
      </c>
      <c r="HN20" t="e">
        <f>AND(#REF!,"AAAAADd/5t0=")</f>
        <v>#REF!</v>
      </c>
      <c r="HO20" t="e">
        <f>AND(#REF!,"AAAAADd/5t4=")</f>
        <v>#REF!</v>
      </c>
      <c r="HP20" t="e">
        <f>AND(#REF!,"AAAAADd/5t8=")</f>
        <v>#REF!</v>
      </c>
      <c r="HQ20" t="e">
        <f>AND(#REF!,"AAAAADd/5uA=")</f>
        <v>#REF!</v>
      </c>
      <c r="HR20" t="e">
        <f>AND(#REF!,"AAAAADd/5uE=")</f>
        <v>#REF!</v>
      </c>
      <c r="HS20" t="e">
        <f>AND(#REF!,"AAAAADd/5uI=")</f>
        <v>#REF!</v>
      </c>
      <c r="HT20" t="e">
        <f>AND(#REF!,"AAAAADd/5uM=")</f>
        <v>#REF!</v>
      </c>
      <c r="HU20" t="e">
        <f>AND(#REF!,"AAAAADd/5uQ=")</f>
        <v>#REF!</v>
      </c>
      <c r="HV20" t="e">
        <f>AND(#REF!,"AAAAADd/5uU=")</f>
        <v>#REF!</v>
      </c>
      <c r="HW20" t="e">
        <f>AND(#REF!,"AAAAADd/5uY=")</f>
        <v>#REF!</v>
      </c>
      <c r="HX20" t="e">
        <f>AND(#REF!,"AAAAADd/5uc=")</f>
        <v>#REF!</v>
      </c>
      <c r="HY20" t="e">
        <f>AND(#REF!,"AAAAADd/5ug=")</f>
        <v>#REF!</v>
      </c>
      <c r="HZ20" t="e">
        <f>AND(#REF!,"AAAAADd/5uk=")</f>
        <v>#REF!</v>
      </c>
      <c r="IA20" t="e">
        <f>AND(#REF!,"AAAAADd/5uo=")</f>
        <v>#REF!</v>
      </c>
      <c r="IB20" t="e">
        <f>AND(#REF!,"AAAAADd/5us=")</f>
        <v>#REF!</v>
      </c>
      <c r="IC20" t="e">
        <f>IF(#REF!,"AAAAADd/5uw=",0)</f>
        <v>#REF!</v>
      </c>
      <c r="ID20" t="e">
        <f>AND(#REF!,"AAAAADd/5u0=")</f>
        <v>#REF!</v>
      </c>
      <c r="IE20" t="e">
        <f>AND(#REF!,"AAAAADd/5u4=")</f>
        <v>#REF!</v>
      </c>
      <c r="IF20" t="e">
        <f>AND(#REF!,"AAAAADd/5u8=")</f>
        <v>#REF!</v>
      </c>
      <c r="IG20" t="e">
        <f>AND(#REF!,"AAAAADd/5vA=")</f>
        <v>#REF!</v>
      </c>
      <c r="IH20" t="e">
        <f>AND(#REF!,"AAAAADd/5vE=")</f>
        <v>#REF!</v>
      </c>
      <c r="II20" t="e">
        <f>AND(#REF!,"AAAAADd/5vI=")</f>
        <v>#REF!</v>
      </c>
      <c r="IJ20" t="e">
        <f>AND(#REF!,"AAAAADd/5vM=")</f>
        <v>#REF!</v>
      </c>
      <c r="IK20" t="e">
        <f>AND(#REF!,"AAAAADd/5vQ=")</f>
        <v>#REF!</v>
      </c>
      <c r="IL20" t="e">
        <f>AND(#REF!,"AAAAADd/5vU=")</f>
        <v>#REF!</v>
      </c>
      <c r="IM20" t="e">
        <f>AND(#REF!,"AAAAADd/5vY=")</f>
        <v>#REF!</v>
      </c>
      <c r="IN20" t="e">
        <f>AND(#REF!,"AAAAADd/5vc=")</f>
        <v>#REF!</v>
      </c>
      <c r="IO20" t="e">
        <f>AND(#REF!,"AAAAADd/5vg=")</f>
        <v>#REF!</v>
      </c>
      <c r="IP20" t="e">
        <f>AND(#REF!,"AAAAADd/5vk=")</f>
        <v>#REF!</v>
      </c>
      <c r="IQ20" t="e">
        <f>AND(#REF!,"AAAAADd/5vo=")</f>
        <v>#REF!</v>
      </c>
      <c r="IR20" t="e">
        <f>AND(#REF!,"AAAAADd/5vs=")</f>
        <v>#REF!</v>
      </c>
      <c r="IS20" t="e">
        <f>AND(#REF!,"AAAAADd/5vw=")</f>
        <v>#REF!</v>
      </c>
      <c r="IT20" t="e">
        <f>AND(#REF!,"AAAAADd/5v0=")</f>
        <v>#REF!</v>
      </c>
      <c r="IU20" t="e">
        <f>AND(#REF!,"AAAAADd/5v4=")</f>
        <v>#REF!</v>
      </c>
      <c r="IV20" t="e">
        <f>AND(#REF!,"AAAAADd/5v8=")</f>
        <v>#REF!</v>
      </c>
    </row>
    <row r="21" spans="1:256" x14ac:dyDescent="0.15">
      <c r="A21" t="e">
        <f>IF(#REF!,"AAAAAH79pgA=",0)</f>
        <v>#REF!</v>
      </c>
      <c r="B21" t="e">
        <f>AND(#REF!,"AAAAAH79pgE=")</f>
        <v>#REF!</v>
      </c>
      <c r="C21" t="e">
        <f>AND(#REF!,"AAAAAH79pgI=")</f>
        <v>#REF!</v>
      </c>
      <c r="D21" t="e">
        <f>AND(#REF!,"AAAAAH79pgM=")</f>
        <v>#REF!</v>
      </c>
      <c r="E21" t="e">
        <f>AND(#REF!,"AAAAAH79pgQ=")</f>
        <v>#REF!</v>
      </c>
      <c r="F21" t="e">
        <f>AND(#REF!,"AAAAAH79pgU=")</f>
        <v>#REF!</v>
      </c>
      <c r="G21" t="e">
        <f>AND(#REF!,"AAAAAH79pgY=")</f>
        <v>#REF!</v>
      </c>
      <c r="H21" t="e">
        <f>AND(#REF!,"AAAAAH79pgc=")</f>
        <v>#REF!</v>
      </c>
      <c r="I21" t="e">
        <f>AND(#REF!,"AAAAAH79pgg=")</f>
        <v>#REF!</v>
      </c>
      <c r="J21" t="e">
        <f>AND(#REF!,"AAAAAH79pgk=")</f>
        <v>#REF!</v>
      </c>
      <c r="K21" t="e">
        <f>AND(#REF!,"AAAAAH79pgo=")</f>
        <v>#REF!</v>
      </c>
      <c r="L21" t="e">
        <f>AND(#REF!,"AAAAAH79pgs=")</f>
        <v>#REF!</v>
      </c>
      <c r="M21" t="e">
        <f>AND(#REF!,"AAAAAH79pgw=")</f>
        <v>#REF!</v>
      </c>
      <c r="N21" t="e">
        <f>AND(#REF!,"AAAAAH79pg0=")</f>
        <v>#REF!</v>
      </c>
      <c r="O21" t="e">
        <f>AND(#REF!,"AAAAAH79pg4=")</f>
        <v>#REF!</v>
      </c>
      <c r="P21" t="e">
        <f>AND(#REF!,"AAAAAH79pg8=")</f>
        <v>#REF!</v>
      </c>
      <c r="Q21" t="e">
        <f>AND(#REF!,"AAAAAH79phA=")</f>
        <v>#REF!</v>
      </c>
      <c r="R21" t="e">
        <f>AND(#REF!,"AAAAAH79phE=")</f>
        <v>#REF!</v>
      </c>
      <c r="S21" t="e">
        <f>AND(#REF!,"AAAAAH79phI=")</f>
        <v>#REF!</v>
      </c>
      <c r="T21" t="e">
        <f>AND(#REF!,"AAAAAH79phM=")</f>
        <v>#REF!</v>
      </c>
      <c r="U21" t="e">
        <f>IF(#REF!,"AAAAAH79phQ=",0)</f>
        <v>#REF!</v>
      </c>
      <c r="V21" t="e">
        <f>AND(#REF!,"AAAAAH79phU=")</f>
        <v>#REF!</v>
      </c>
      <c r="W21" t="e">
        <f>AND(#REF!,"AAAAAH79phY=")</f>
        <v>#REF!</v>
      </c>
      <c r="X21" t="e">
        <f>AND(#REF!,"AAAAAH79phc=")</f>
        <v>#REF!</v>
      </c>
      <c r="Y21" t="e">
        <f>AND(#REF!,"AAAAAH79phg=")</f>
        <v>#REF!</v>
      </c>
      <c r="Z21" t="e">
        <f>AND(#REF!,"AAAAAH79phk=")</f>
        <v>#REF!</v>
      </c>
      <c r="AA21" t="e">
        <f>AND(#REF!,"AAAAAH79pho=")</f>
        <v>#REF!</v>
      </c>
      <c r="AB21" t="e">
        <f>AND(#REF!,"AAAAAH79phs=")</f>
        <v>#REF!</v>
      </c>
      <c r="AC21" t="e">
        <f>AND(#REF!,"AAAAAH79phw=")</f>
        <v>#REF!</v>
      </c>
      <c r="AD21" t="e">
        <f>AND(#REF!,"AAAAAH79ph0=")</f>
        <v>#REF!</v>
      </c>
      <c r="AE21" t="e">
        <f>AND(#REF!,"AAAAAH79ph4=")</f>
        <v>#REF!</v>
      </c>
      <c r="AF21" t="e">
        <f>AND(#REF!,"AAAAAH79ph8=")</f>
        <v>#REF!</v>
      </c>
      <c r="AG21" t="e">
        <f>AND(#REF!,"AAAAAH79piA=")</f>
        <v>#REF!</v>
      </c>
      <c r="AH21" t="e">
        <f>AND(#REF!,"AAAAAH79piE=")</f>
        <v>#REF!</v>
      </c>
      <c r="AI21" t="e">
        <f>AND(#REF!,"AAAAAH79piI=")</f>
        <v>#REF!</v>
      </c>
      <c r="AJ21" t="e">
        <f>AND(#REF!,"AAAAAH79piM=")</f>
        <v>#REF!</v>
      </c>
      <c r="AK21" t="e">
        <f>AND(#REF!,"AAAAAH79piQ=")</f>
        <v>#REF!</v>
      </c>
      <c r="AL21" t="e">
        <f>AND(#REF!,"AAAAAH79piU=")</f>
        <v>#REF!</v>
      </c>
      <c r="AM21" t="e">
        <f>AND(#REF!,"AAAAAH79piY=")</f>
        <v>#REF!</v>
      </c>
      <c r="AN21" t="e">
        <f>AND(#REF!,"AAAAAH79pic=")</f>
        <v>#REF!</v>
      </c>
      <c r="AO21" t="e">
        <f>IF(#REF!,"AAAAAH79pig=",0)</f>
        <v>#REF!</v>
      </c>
      <c r="AP21" t="e">
        <f>AND(#REF!,"AAAAAH79pik=")</f>
        <v>#REF!</v>
      </c>
      <c r="AQ21" t="e">
        <f>AND(#REF!,"AAAAAH79pio=")</f>
        <v>#REF!</v>
      </c>
      <c r="AR21" t="e">
        <f>AND(#REF!,"AAAAAH79pis=")</f>
        <v>#REF!</v>
      </c>
      <c r="AS21" t="e">
        <f>AND(#REF!,"AAAAAH79piw=")</f>
        <v>#REF!</v>
      </c>
      <c r="AT21" t="e">
        <f>AND(#REF!,"AAAAAH79pi0=")</f>
        <v>#REF!</v>
      </c>
      <c r="AU21" t="e">
        <f>AND(#REF!,"AAAAAH79pi4=")</f>
        <v>#REF!</v>
      </c>
      <c r="AV21" t="e">
        <f>AND(#REF!,"AAAAAH79pi8=")</f>
        <v>#REF!</v>
      </c>
      <c r="AW21" t="e">
        <f>AND(#REF!,"AAAAAH79pjA=")</f>
        <v>#REF!</v>
      </c>
      <c r="AX21" t="e">
        <f>AND(#REF!,"AAAAAH79pjE=")</f>
        <v>#REF!</v>
      </c>
      <c r="AY21" t="e">
        <f>AND(#REF!,"AAAAAH79pjI=")</f>
        <v>#REF!</v>
      </c>
      <c r="AZ21" t="e">
        <f>AND(#REF!,"AAAAAH79pjM=")</f>
        <v>#REF!</v>
      </c>
      <c r="BA21" t="e">
        <f>AND(#REF!,"AAAAAH79pjQ=")</f>
        <v>#REF!</v>
      </c>
      <c r="BB21" t="e">
        <f>AND(#REF!,"AAAAAH79pjU=")</f>
        <v>#REF!</v>
      </c>
      <c r="BC21" t="e">
        <f>AND(#REF!,"AAAAAH79pjY=")</f>
        <v>#REF!</v>
      </c>
      <c r="BD21" t="e">
        <f>AND(#REF!,"AAAAAH79pjc=")</f>
        <v>#REF!</v>
      </c>
      <c r="BE21" t="e">
        <f>AND(#REF!,"AAAAAH79pjg=")</f>
        <v>#REF!</v>
      </c>
      <c r="BF21" t="e">
        <f>AND(#REF!,"AAAAAH79pjk=")</f>
        <v>#REF!</v>
      </c>
      <c r="BG21" t="e">
        <f>AND(#REF!,"AAAAAH79pjo=")</f>
        <v>#REF!</v>
      </c>
      <c r="BH21" t="e">
        <f>AND(#REF!,"AAAAAH79pjs=")</f>
        <v>#REF!</v>
      </c>
      <c r="BI21" t="e">
        <f>IF(#REF!,"AAAAAH79pjw=",0)</f>
        <v>#REF!</v>
      </c>
      <c r="BJ21" t="e">
        <f>AND(#REF!,"AAAAAH79pj0=")</f>
        <v>#REF!</v>
      </c>
      <c r="BK21" t="e">
        <f>AND(#REF!,"AAAAAH79pj4=")</f>
        <v>#REF!</v>
      </c>
      <c r="BL21" t="e">
        <f>AND(#REF!,"AAAAAH79pj8=")</f>
        <v>#REF!</v>
      </c>
      <c r="BM21" t="e">
        <f>AND(#REF!,"AAAAAH79pkA=")</f>
        <v>#REF!</v>
      </c>
      <c r="BN21" t="e">
        <f>AND(#REF!,"AAAAAH79pkE=")</f>
        <v>#REF!</v>
      </c>
      <c r="BO21" t="e">
        <f>AND(#REF!,"AAAAAH79pkI=")</f>
        <v>#REF!</v>
      </c>
      <c r="BP21" t="e">
        <f>AND(#REF!,"AAAAAH79pkM=")</f>
        <v>#REF!</v>
      </c>
      <c r="BQ21" t="e">
        <f>AND(#REF!,"AAAAAH79pkQ=")</f>
        <v>#REF!</v>
      </c>
      <c r="BR21" t="e">
        <f>AND(#REF!,"AAAAAH79pkU=")</f>
        <v>#REF!</v>
      </c>
      <c r="BS21" t="e">
        <f>AND(#REF!,"AAAAAH79pkY=")</f>
        <v>#REF!</v>
      </c>
      <c r="BT21" t="e">
        <f>AND(#REF!,"AAAAAH79pkc=")</f>
        <v>#REF!</v>
      </c>
      <c r="BU21" t="e">
        <f>AND(#REF!,"AAAAAH79pkg=")</f>
        <v>#REF!</v>
      </c>
      <c r="BV21" t="e">
        <f>AND(#REF!,"AAAAAH79pkk=")</f>
        <v>#REF!</v>
      </c>
      <c r="BW21" t="e">
        <f>AND(#REF!,"AAAAAH79pko=")</f>
        <v>#REF!</v>
      </c>
      <c r="BX21" t="e">
        <f>AND(#REF!,"AAAAAH79pks=")</f>
        <v>#REF!</v>
      </c>
      <c r="BY21" t="e">
        <f>AND(#REF!,"AAAAAH79pkw=")</f>
        <v>#REF!</v>
      </c>
      <c r="BZ21" t="e">
        <f>AND(#REF!,"AAAAAH79pk0=")</f>
        <v>#REF!</v>
      </c>
      <c r="CA21" t="e">
        <f>AND(#REF!,"AAAAAH79pk4=")</f>
        <v>#REF!</v>
      </c>
      <c r="CB21" t="e">
        <f>AND(#REF!,"AAAAAH79pk8=")</f>
        <v>#REF!</v>
      </c>
      <c r="CC21" t="e">
        <f>IF(#REF!,"AAAAAH79plA=",0)</f>
        <v>#REF!</v>
      </c>
      <c r="CD21" t="e">
        <f>IF(#REF!,"AAAAAH79plE=",0)</f>
        <v>#REF!</v>
      </c>
      <c r="CE21" t="e">
        <f>IF(#REF!,"AAAAAH79plI=",0)</f>
        <v>#REF!</v>
      </c>
      <c r="CF21" t="e">
        <f>IF(#REF!,"AAAAAH79plM=",0)</f>
        <v>#REF!</v>
      </c>
      <c r="CG21" t="e">
        <f>IF(#REF!,"AAAAAH79plQ=",0)</f>
        <v>#REF!</v>
      </c>
      <c r="CH21" t="e">
        <f>IF(#REF!,"AAAAAH79plU=",0)</f>
        <v>#REF!</v>
      </c>
      <c r="CI21" t="e">
        <f>IF(#REF!,"AAAAAH79plY=",0)</f>
        <v>#REF!</v>
      </c>
      <c r="CJ21" t="e">
        <f>IF(#REF!,"AAAAAH79plc=",0)</f>
        <v>#REF!</v>
      </c>
      <c r="CK21" t="e">
        <f>IF(#REF!,"AAAAAH79plg=",0)</f>
        <v>#REF!</v>
      </c>
      <c r="CL21" t="e">
        <f>IF(#REF!,"AAAAAH79plk=",0)</f>
        <v>#REF!</v>
      </c>
      <c r="CM21" t="e">
        <f>IF(#REF!,"AAAAAH79plo=",0)</f>
        <v>#REF!</v>
      </c>
      <c r="CN21" t="e">
        <f>IF(#REF!,"AAAAAH79pls=",0)</f>
        <v>#REF!</v>
      </c>
      <c r="CO21" t="e">
        <f>IF(#REF!,"AAAAAH79plw=",0)</f>
        <v>#REF!</v>
      </c>
      <c r="CP21" t="e">
        <f>IF(#REF!,"AAAAAH79pl0=",0)</f>
        <v>#REF!</v>
      </c>
      <c r="CQ21" t="e">
        <f>IF(#REF!,"AAAAAH79pl4=",0)</f>
        <v>#REF!</v>
      </c>
      <c r="CR21" t="e">
        <f>IF(#REF!,"AAAAAH79pl8=",0)</f>
        <v>#REF!</v>
      </c>
      <c r="CS21" t="e">
        <f>IF(#REF!,"AAAAAH79pmA=",0)</f>
        <v>#REF!</v>
      </c>
      <c r="CT21" t="e">
        <f>IF(#REF!,"AAAAAH79pmE=",0)</f>
        <v>#REF!</v>
      </c>
      <c r="CU21" t="e">
        <f>IF(#REF!,"AAAAAH79pmI=",0)</f>
        <v>#REF!</v>
      </c>
      <c r="CV21" t="e">
        <f>IF(#REF!,"AAAAAH79pmM=",0)</f>
        <v>#REF!</v>
      </c>
      <c r="CW21" t="e">
        <f>IF(#REF!,"AAAAAH79pmQ=",0)</f>
        <v>#REF!</v>
      </c>
      <c r="CX21" t="e">
        <f>IF(#REF!,"AAAAAH79pmU=",0)</f>
        <v>#REF!</v>
      </c>
      <c r="CY21" t="e">
        <f>AND(#REF!,"AAAAAH79pmY=")</f>
        <v>#REF!</v>
      </c>
      <c r="CZ21" t="e">
        <f>AND(#REF!,"AAAAAH79pmc=")</f>
        <v>#REF!</v>
      </c>
      <c r="DA21" t="e">
        <f>AND(#REF!,"AAAAAH79pmg=")</f>
        <v>#REF!</v>
      </c>
      <c r="DB21" t="e">
        <f>AND(#REF!,"AAAAAH79pmk=")</f>
        <v>#REF!</v>
      </c>
      <c r="DC21" t="e">
        <f>AND(#REF!,"AAAAAH79pmo=")</f>
        <v>#REF!</v>
      </c>
      <c r="DD21" t="e">
        <f>AND(#REF!,"AAAAAH79pms=")</f>
        <v>#REF!</v>
      </c>
      <c r="DE21" t="e">
        <f>AND(#REF!,"AAAAAH79pmw=")</f>
        <v>#REF!</v>
      </c>
      <c r="DF21" t="e">
        <f>AND(#REF!,"AAAAAH79pm0=")</f>
        <v>#REF!</v>
      </c>
      <c r="DG21" t="e">
        <f>AND(#REF!,"AAAAAH79pm4=")</f>
        <v>#REF!</v>
      </c>
      <c r="DH21" t="e">
        <f>AND(#REF!,"AAAAAH79pm8=")</f>
        <v>#REF!</v>
      </c>
      <c r="DI21" t="e">
        <f>AND(#REF!,"AAAAAH79pnA=")</f>
        <v>#REF!</v>
      </c>
      <c r="DJ21" t="e">
        <f>AND(#REF!,"AAAAAH79pnE=")</f>
        <v>#REF!</v>
      </c>
      <c r="DK21" t="e">
        <f>AND(#REF!,"AAAAAH79pnI=")</f>
        <v>#REF!</v>
      </c>
      <c r="DL21" t="e">
        <f>AND(#REF!,"AAAAAH79pnM=")</f>
        <v>#REF!</v>
      </c>
      <c r="DM21" t="e">
        <f>AND(#REF!,"AAAAAH79pnQ=")</f>
        <v>#REF!</v>
      </c>
      <c r="DN21" t="e">
        <f>AND(#REF!,"AAAAAH79pnU=")</f>
        <v>#REF!</v>
      </c>
      <c r="DO21" t="e">
        <f>AND(#REF!,"AAAAAH79pnY=")</f>
        <v>#REF!</v>
      </c>
      <c r="DP21" t="e">
        <f>AND(#REF!,"AAAAAH79pnc=")</f>
        <v>#REF!</v>
      </c>
      <c r="DQ21" t="e">
        <f>IF(#REF!,"AAAAAH79png=",0)</f>
        <v>#REF!</v>
      </c>
      <c r="DR21" t="e">
        <f>AND(#REF!,"AAAAAH79pnk=")</f>
        <v>#REF!</v>
      </c>
      <c r="DS21" t="e">
        <f>AND(#REF!,"AAAAAH79pno=")</f>
        <v>#REF!</v>
      </c>
      <c r="DT21" t="e">
        <f>AND(#REF!,"AAAAAH79pns=")</f>
        <v>#REF!</v>
      </c>
      <c r="DU21" t="e">
        <f>AND(#REF!,"AAAAAH79pnw=")</f>
        <v>#REF!</v>
      </c>
      <c r="DV21" t="e">
        <f>AND(#REF!,"AAAAAH79pn0=")</f>
        <v>#REF!</v>
      </c>
      <c r="DW21" t="e">
        <f>AND(#REF!,"AAAAAH79pn4=")</f>
        <v>#REF!</v>
      </c>
      <c r="DX21" t="e">
        <f>AND(#REF!,"AAAAAH79pn8=")</f>
        <v>#REF!</v>
      </c>
      <c r="DY21" t="e">
        <f>AND(#REF!,"AAAAAH79poA=")</f>
        <v>#REF!</v>
      </c>
      <c r="DZ21" t="e">
        <f>AND(#REF!,"AAAAAH79poE=")</f>
        <v>#REF!</v>
      </c>
      <c r="EA21" t="e">
        <f>AND(#REF!,"AAAAAH79poI=")</f>
        <v>#REF!</v>
      </c>
      <c r="EB21" t="e">
        <f>AND(#REF!,"AAAAAH79poM=")</f>
        <v>#REF!</v>
      </c>
      <c r="EC21" t="e">
        <f>AND(#REF!,"AAAAAH79poQ=")</f>
        <v>#REF!</v>
      </c>
      <c r="ED21" t="e">
        <f>AND(#REF!,"AAAAAH79poU=")</f>
        <v>#REF!</v>
      </c>
      <c r="EE21" t="e">
        <f>AND(#REF!,"AAAAAH79poY=")</f>
        <v>#REF!</v>
      </c>
      <c r="EF21" t="e">
        <f>AND(#REF!,"AAAAAH79poc=")</f>
        <v>#REF!</v>
      </c>
      <c r="EG21" t="e">
        <f>AND(#REF!,"AAAAAH79pog=")</f>
        <v>#REF!</v>
      </c>
      <c r="EH21" t="e">
        <f>AND(#REF!,"AAAAAH79pok=")</f>
        <v>#REF!</v>
      </c>
      <c r="EI21" t="e">
        <f>AND(#REF!,"AAAAAH79poo=")</f>
        <v>#REF!</v>
      </c>
      <c r="EJ21" t="e">
        <f>IF(#REF!,"AAAAAH79pos=",0)</f>
        <v>#REF!</v>
      </c>
      <c r="EK21" t="e">
        <f>AND(#REF!,"AAAAAH79pow=")</f>
        <v>#REF!</v>
      </c>
      <c r="EL21" t="e">
        <f>AND(#REF!,"AAAAAH79po0=")</f>
        <v>#REF!</v>
      </c>
      <c r="EM21" t="e">
        <f>AND(#REF!,"AAAAAH79po4=")</f>
        <v>#REF!</v>
      </c>
      <c r="EN21" t="e">
        <f>AND(#REF!,"AAAAAH79po8=")</f>
        <v>#REF!</v>
      </c>
      <c r="EO21" t="e">
        <f>AND(#REF!,"AAAAAH79ppA=")</f>
        <v>#REF!</v>
      </c>
      <c r="EP21" t="e">
        <f>AND(#REF!,"AAAAAH79ppE=")</f>
        <v>#REF!</v>
      </c>
      <c r="EQ21" t="e">
        <f>AND(#REF!,"AAAAAH79ppI=")</f>
        <v>#REF!</v>
      </c>
      <c r="ER21" t="e">
        <f>AND(#REF!,"AAAAAH79ppM=")</f>
        <v>#REF!</v>
      </c>
      <c r="ES21" t="e">
        <f>AND(#REF!,"AAAAAH79ppQ=")</f>
        <v>#REF!</v>
      </c>
      <c r="ET21" t="e">
        <f>AND(#REF!,"AAAAAH79ppU=")</f>
        <v>#REF!</v>
      </c>
      <c r="EU21" t="e">
        <f>AND(#REF!,"AAAAAH79ppY=")</f>
        <v>#REF!</v>
      </c>
      <c r="EV21" t="e">
        <f>AND(#REF!,"AAAAAH79ppc=")</f>
        <v>#REF!</v>
      </c>
      <c r="EW21" t="e">
        <f>AND(#REF!,"AAAAAH79ppg=")</f>
        <v>#REF!</v>
      </c>
      <c r="EX21" t="e">
        <f>AND(#REF!,"AAAAAH79ppk=")</f>
        <v>#REF!</v>
      </c>
      <c r="EY21" t="e">
        <f>AND(#REF!,"AAAAAH79ppo=")</f>
        <v>#REF!</v>
      </c>
      <c r="EZ21" t="e">
        <f>AND(#REF!,"AAAAAH79pps=")</f>
        <v>#REF!</v>
      </c>
      <c r="FA21" t="e">
        <f>AND(#REF!,"AAAAAH79ppw=")</f>
        <v>#REF!</v>
      </c>
      <c r="FB21" t="e">
        <f>AND(#REF!,"AAAAAH79pp0=")</f>
        <v>#REF!</v>
      </c>
      <c r="FC21" t="e">
        <f>IF(#REF!,"AAAAAH79pp4=",0)</f>
        <v>#REF!</v>
      </c>
      <c r="FD21" t="e">
        <f>AND(#REF!,"AAAAAH79pp8=")</f>
        <v>#REF!</v>
      </c>
      <c r="FE21" t="e">
        <f>AND(#REF!,"AAAAAH79pqA=")</f>
        <v>#REF!</v>
      </c>
      <c r="FF21" t="e">
        <f>AND(#REF!,"AAAAAH79pqE=")</f>
        <v>#REF!</v>
      </c>
      <c r="FG21" t="e">
        <f>AND(#REF!,"AAAAAH79pqI=")</f>
        <v>#REF!</v>
      </c>
      <c r="FH21" t="e">
        <f>AND(#REF!,"AAAAAH79pqM=")</f>
        <v>#REF!</v>
      </c>
      <c r="FI21" t="e">
        <f>AND(#REF!,"AAAAAH79pqQ=")</f>
        <v>#REF!</v>
      </c>
      <c r="FJ21" t="e">
        <f>AND(#REF!,"AAAAAH79pqU=")</f>
        <v>#REF!</v>
      </c>
      <c r="FK21" t="e">
        <f>AND(#REF!,"AAAAAH79pqY=")</f>
        <v>#REF!</v>
      </c>
      <c r="FL21" t="e">
        <f>AND(#REF!,"AAAAAH79pqc=")</f>
        <v>#REF!</v>
      </c>
      <c r="FM21" t="e">
        <f>AND(#REF!,"AAAAAH79pqg=")</f>
        <v>#REF!</v>
      </c>
      <c r="FN21" t="e">
        <f>AND(#REF!,"AAAAAH79pqk=")</f>
        <v>#REF!</v>
      </c>
      <c r="FO21" t="e">
        <f>AND(#REF!,"AAAAAH79pqo=")</f>
        <v>#REF!</v>
      </c>
      <c r="FP21" t="e">
        <f>AND(#REF!,"AAAAAH79pqs=")</f>
        <v>#REF!</v>
      </c>
      <c r="FQ21" t="e">
        <f>AND(#REF!,"AAAAAH79pqw=")</f>
        <v>#REF!</v>
      </c>
      <c r="FR21" t="e">
        <f>AND(#REF!,"AAAAAH79pq0=")</f>
        <v>#REF!</v>
      </c>
      <c r="FS21" t="e">
        <f>AND(#REF!,"AAAAAH79pq4=")</f>
        <v>#REF!</v>
      </c>
      <c r="FT21" t="e">
        <f>AND(#REF!,"AAAAAH79pq8=")</f>
        <v>#REF!</v>
      </c>
      <c r="FU21" t="e">
        <f>AND(#REF!,"AAAAAH79prA=")</f>
        <v>#REF!</v>
      </c>
      <c r="FV21" t="e">
        <f>IF(#REF!,"AAAAAH79prE=",0)</f>
        <v>#REF!</v>
      </c>
      <c r="FW21" t="e">
        <f>AND(#REF!,"AAAAAH79prI=")</f>
        <v>#REF!</v>
      </c>
      <c r="FX21" t="e">
        <f>AND(#REF!,"AAAAAH79prM=")</f>
        <v>#REF!</v>
      </c>
      <c r="FY21" t="e">
        <f>AND(#REF!,"AAAAAH79prQ=")</f>
        <v>#REF!</v>
      </c>
      <c r="FZ21" t="e">
        <f>AND(#REF!,"AAAAAH79prU=")</f>
        <v>#REF!</v>
      </c>
      <c r="GA21" t="e">
        <f>AND(#REF!,"AAAAAH79prY=")</f>
        <v>#REF!</v>
      </c>
      <c r="GB21" t="e">
        <f>AND(#REF!,"AAAAAH79prc=")</f>
        <v>#REF!</v>
      </c>
      <c r="GC21" t="e">
        <f>AND(#REF!,"AAAAAH79prg=")</f>
        <v>#REF!</v>
      </c>
      <c r="GD21" t="e">
        <f>AND(#REF!,"AAAAAH79prk=")</f>
        <v>#REF!</v>
      </c>
      <c r="GE21" t="e">
        <f>AND(#REF!,"AAAAAH79pro=")</f>
        <v>#REF!</v>
      </c>
      <c r="GF21" t="e">
        <f>AND(#REF!,"AAAAAH79prs=")</f>
        <v>#REF!</v>
      </c>
      <c r="GG21" t="e">
        <f>AND(#REF!,"AAAAAH79prw=")</f>
        <v>#REF!</v>
      </c>
      <c r="GH21" t="e">
        <f>AND(#REF!,"AAAAAH79pr0=")</f>
        <v>#REF!</v>
      </c>
      <c r="GI21" t="e">
        <f>AND(#REF!,"AAAAAH79pr4=")</f>
        <v>#REF!</v>
      </c>
      <c r="GJ21" t="e">
        <f>AND(#REF!,"AAAAAH79pr8=")</f>
        <v>#REF!</v>
      </c>
      <c r="GK21" t="e">
        <f>AND(#REF!,"AAAAAH79psA=")</f>
        <v>#REF!</v>
      </c>
      <c r="GL21" t="e">
        <f>AND(#REF!,"AAAAAH79psE=")</f>
        <v>#REF!</v>
      </c>
      <c r="GM21" t="e">
        <f>AND(#REF!,"AAAAAH79psI=")</f>
        <v>#REF!</v>
      </c>
      <c r="GN21" t="e">
        <f>AND(#REF!,"AAAAAH79psM=")</f>
        <v>#REF!</v>
      </c>
      <c r="GO21" t="e">
        <f>IF(#REF!,"AAAAAH79psQ=",0)</f>
        <v>#REF!</v>
      </c>
      <c r="GP21" t="e">
        <f>AND(#REF!,"AAAAAH79psU=")</f>
        <v>#REF!</v>
      </c>
      <c r="GQ21" t="e">
        <f>AND(#REF!,"AAAAAH79psY=")</f>
        <v>#REF!</v>
      </c>
      <c r="GR21" t="e">
        <f>AND(#REF!,"AAAAAH79psc=")</f>
        <v>#REF!</v>
      </c>
      <c r="GS21" t="e">
        <f>AND(#REF!,"AAAAAH79psg=")</f>
        <v>#REF!</v>
      </c>
      <c r="GT21" t="e">
        <f>AND(#REF!,"AAAAAH79psk=")</f>
        <v>#REF!</v>
      </c>
      <c r="GU21" t="e">
        <f>AND(#REF!,"AAAAAH79pso=")</f>
        <v>#REF!</v>
      </c>
      <c r="GV21" t="e">
        <f>AND(#REF!,"AAAAAH79pss=")</f>
        <v>#REF!</v>
      </c>
      <c r="GW21" t="e">
        <f>AND(#REF!,"AAAAAH79psw=")</f>
        <v>#REF!</v>
      </c>
      <c r="GX21" t="e">
        <f>AND(#REF!,"AAAAAH79ps0=")</f>
        <v>#REF!</v>
      </c>
      <c r="GY21" t="e">
        <f>AND(#REF!,"AAAAAH79ps4=")</f>
        <v>#REF!</v>
      </c>
      <c r="GZ21" t="e">
        <f>AND(#REF!,"AAAAAH79ps8=")</f>
        <v>#REF!</v>
      </c>
      <c r="HA21" t="e">
        <f>AND(#REF!,"AAAAAH79ptA=")</f>
        <v>#REF!</v>
      </c>
      <c r="HB21" t="e">
        <f>AND(#REF!,"AAAAAH79ptE=")</f>
        <v>#REF!</v>
      </c>
      <c r="HC21" t="e">
        <f>AND(#REF!,"AAAAAH79ptI=")</f>
        <v>#REF!</v>
      </c>
      <c r="HD21" t="e">
        <f>AND(#REF!,"AAAAAH79ptM=")</f>
        <v>#REF!</v>
      </c>
      <c r="HE21" t="e">
        <f>AND(#REF!,"AAAAAH79ptQ=")</f>
        <v>#REF!</v>
      </c>
      <c r="HF21" t="e">
        <f>AND(#REF!,"AAAAAH79ptU=")</f>
        <v>#REF!</v>
      </c>
      <c r="HG21" t="e">
        <f>AND(#REF!,"AAAAAH79ptY=")</f>
        <v>#REF!</v>
      </c>
      <c r="HH21" t="e">
        <f>IF(#REF!,"AAAAAH79ptc=",0)</f>
        <v>#REF!</v>
      </c>
      <c r="HI21" t="e">
        <f>AND(#REF!,"AAAAAH79ptg=")</f>
        <v>#REF!</v>
      </c>
      <c r="HJ21" t="e">
        <f>AND(#REF!,"AAAAAH79ptk=")</f>
        <v>#REF!</v>
      </c>
      <c r="HK21" t="e">
        <f>AND(#REF!,"AAAAAH79pto=")</f>
        <v>#REF!</v>
      </c>
      <c r="HL21" t="e">
        <f>AND(#REF!,"AAAAAH79pts=")</f>
        <v>#REF!</v>
      </c>
      <c r="HM21" t="e">
        <f>AND(#REF!,"AAAAAH79ptw=")</f>
        <v>#REF!</v>
      </c>
      <c r="HN21" t="e">
        <f>AND(#REF!,"AAAAAH79pt0=")</f>
        <v>#REF!</v>
      </c>
      <c r="HO21" t="e">
        <f>AND(#REF!,"AAAAAH79pt4=")</f>
        <v>#REF!</v>
      </c>
      <c r="HP21" t="e">
        <f>AND(#REF!,"AAAAAH79pt8=")</f>
        <v>#REF!</v>
      </c>
      <c r="HQ21" t="e">
        <f>AND(#REF!,"AAAAAH79puA=")</f>
        <v>#REF!</v>
      </c>
      <c r="HR21" t="e">
        <f>AND(#REF!,"AAAAAH79puE=")</f>
        <v>#REF!</v>
      </c>
      <c r="HS21" t="e">
        <f>AND(#REF!,"AAAAAH79puI=")</f>
        <v>#REF!</v>
      </c>
      <c r="HT21" t="e">
        <f>AND(#REF!,"AAAAAH79puM=")</f>
        <v>#REF!</v>
      </c>
      <c r="HU21" t="e">
        <f>AND(#REF!,"AAAAAH79puQ=")</f>
        <v>#REF!</v>
      </c>
      <c r="HV21" t="e">
        <f>AND(#REF!,"AAAAAH79puU=")</f>
        <v>#REF!</v>
      </c>
      <c r="HW21" t="e">
        <f>AND(#REF!,"AAAAAH79puY=")</f>
        <v>#REF!</v>
      </c>
      <c r="HX21" t="e">
        <f>AND(#REF!,"AAAAAH79puc=")</f>
        <v>#REF!</v>
      </c>
      <c r="HY21" t="e">
        <f>AND(#REF!,"AAAAAH79pug=")</f>
        <v>#REF!</v>
      </c>
      <c r="HZ21" t="e">
        <f>AND(#REF!,"AAAAAH79puk=")</f>
        <v>#REF!</v>
      </c>
      <c r="IA21" t="e">
        <f>IF(#REF!,"AAAAAH79puo=",0)</f>
        <v>#REF!</v>
      </c>
      <c r="IB21" t="e">
        <f>AND(#REF!,"AAAAAH79pus=")</f>
        <v>#REF!</v>
      </c>
      <c r="IC21" t="e">
        <f>AND(#REF!,"AAAAAH79puw=")</f>
        <v>#REF!</v>
      </c>
      <c r="ID21" t="e">
        <f>AND(#REF!,"AAAAAH79pu0=")</f>
        <v>#REF!</v>
      </c>
      <c r="IE21" t="e">
        <f>AND(#REF!,"AAAAAH79pu4=")</f>
        <v>#REF!</v>
      </c>
      <c r="IF21" t="e">
        <f>AND(#REF!,"AAAAAH79pu8=")</f>
        <v>#REF!</v>
      </c>
      <c r="IG21" t="e">
        <f>AND(#REF!,"AAAAAH79pvA=")</f>
        <v>#REF!</v>
      </c>
      <c r="IH21" t="e">
        <f>AND(#REF!,"AAAAAH79pvE=")</f>
        <v>#REF!</v>
      </c>
      <c r="II21" t="e">
        <f>AND(#REF!,"AAAAAH79pvI=")</f>
        <v>#REF!</v>
      </c>
      <c r="IJ21" t="e">
        <f>AND(#REF!,"AAAAAH79pvM=")</f>
        <v>#REF!</v>
      </c>
      <c r="IK21" t="e">
        <f>AND(#REF!,"AAAAAH79pvQ=")</f>
        <v>#REF!</v>
      </c>
      <c r="IL21" t="e">
        <f>AND(#REF!,"AAAAAH79pvU=")</f>
        <v>#REF!</v>
      </c>
      <c r="IM21" t="e">
        <f>AND(#REF!,"AAAAAH79pvY=")</f>
        <v>#REF!</v>
      </c>
      <c r="IN21" t="e">
        <f>AND(#REF!,"AAAAAH79pvc=")</f>
        <v>#REF!</v>
      </c>
      <c r="IO21" t="e">
        <f>AND(#REF!,"AAAAAH79pvg=")</f>
        <v>#REF!</v>
      </c>
      <c r="IP21" t="e">
        <f>AND(#REF!,"AAAAAH79pvk=")</f>
        <v>#REF!</v>
      </c>
      <c r="IQ21" t="e">
        <f>AND(#REF!,"AAAAAH79pvo=")</f>
        <v>#REF!</v>
      </c>
      <c r="IR21" t="e">
        <f>AND(#REF!,"AAAAAH79pvs=")</f>
        <v>#REF!</v>
      </c>
      <c r="IS21" t="e">
        <f>AND(#REF!,"AAAAAH79pvw=")</f>
        <v>#REF!</v>
      </c>
      <c r="IT21" t="e">
        <f>IF(#REF!,"AAAAAH79pv0=",0)</f>
        <v>#REF!</v>
      </c>
      <c r="IU21" t="e">
        <f>AND(#REF!,"AAAAAH79pv4=")</f>
        <v>#REF!</v>
      </c>
      <c r="IV21" t="e">
        <f>AND(#REF!,"AAAAAH79pv8=")</f>
        <v>#REF!</v>
      </c>
    </row>
    <row r="22" spans="1:256" x14ac:dyDescent="0.15">
      <c r="A22" t="e">
        <f>AND(#REF!,"AAAAAH737wA=")</f>
        <v>#REF!</v>
      </c>
      <c r="B22" t="e">
        <f>AND(#REF!,"AAAAAH737wE=")</f>
        <v>#REF!</v>
      </c>
      <c r="C22" t="e">
        <f>AND(#REF!,"AAAAAH737wI=")</f>
        <v>#REF!</v>
      </c>
      <c r="D22" t="e">
        <f>AND(#REF!,"AAAAAH737wM=")</f>
        <v>#REF!</v>
      </c>
      <c r="E22" t="e">
        <f>AND(#REF!,"AAAAAH737wQ=")</f>
        <v>#REF!</v>
      </c>
      <c r="F22" t="e">
        <f>AND(#REF!,"AAAAAH737wU=")</f>
        <v>#REF!</v>
      </c>
      <c r="G22" t="e">
        <f>AND(#REF!,"AAAAAH737wY=")</f>
        <v>#REF!</v>
      </c>
      <c r="H22" t="e">
        <f>AND(#REF!,"AAAAAH737wc=")</f>
        <v>#REF!</v>
      </c>
      <c r="I22" t="e">
        <f>AND(#REF!,"AAAAAH737wg=")</f>
        <v>#REF!</v>
      </c>
      <c r="J22" t="e">
        <f>AND(#REF!,"AAAAAH737wk=")</f>
        <v>#REF!</v>
      </c>
      <c r="K22" t="e">
        <f>AND(#REF!,"AAAAAH737wo=")</f>
        <v>#REF!</v>
      </c>
      <c r="L22" t="e">
        <f>AND(#REF!,"AAAAAH737ws=")</f>
        <v>#REF!</v>
      </c>
      <c r="M22" t="e">
        <f>AND(#REF!,"AAAAAH737ww=")</f>
        <v>#REF!</v>
      </c>
      <c r="N22" t="e">
        <f>AND(#REF!,"AAAAAH737w0=")</f>
        <v>#REF!</v>
      </c>
      <c r="O22" t="e">
        <f>AND(#REF!,"AAAAAH737w4=")</f>
        <v>#REF!</v>
      </c>
      <c r="P22" t="e">
        <f>AND(#REF!,"AAAAAH737w8=")</f>
        <v>#REF!</v>
      </c>
      <c r="Q22" t="e">
        <f>IF(#REF!,"AAAAAH737xA=",0)</f>
        <v>#REF!</v>
      </c>
      <c r="R22" t="e">
        <f>AND(#REF!,"AAAAAH737xE=")</f>
        <v>#REF!</v>
      </c>
      <c r="S22" t="e">
        <f>AND(#REF!,"AAAAAH737xI=")</f>
        <v>#REF!</v>
      </c>
      <c r="T22" t="e">
        <f>AND(#REF!,"AAAAAH737xM=")</f>
        <v>#REF!</v>
      </c>
      <c r="U22" t="e">
        <f>AND(#REF!,"AAAAAH737xQ=")</f>
        <v>#REF!</v>
      </c>
      <c r="V22" t="e">
        <f>AND(#REF!,"AAAAAH737xU=")</f>
        <v>#REF!</v>
      </c>
      <c r="W22" t="e">
        <f>AND(#REF!,"AAAAAH737xY=")</f>
        <v>#REF!</v>
      </c>
      <c r="X22" t="e">
        <f>AND(#REF!,"AAAAAH737xc=")</f>
        <v>#REF!</v>
      </c>
      <c r="Y22" t="e">
        <f>AND(#REF!,"AAAAAH737xg=")</f>
        <v>#REF!</v>
      </c>
      <c r="Z22" t="e">
        <f>AND(#REF!,"AAAAAH737xk=")</f>
        <v>#REF!</v>
      </c>
      <c r="AA22" t="e">
        <f>AND(#REF!,"AAAAAH737xo=")</f>
        <v>#REF!</v>
      </c>
      <c r="AB22" t="e">
        <f>AND(#REF!,"AAAAAH737xs=")</f>
        <v>#REF!</v>
      </c>
      <c r="AC22" t="e">
        <f>AND(#REF!,"AAAAAH737xw=")</f>
        <v>#REF!</v>
      </c>
      <c r="AD22" t="e">
        <f>AND(#REF!,"AAAAAH737x0=")</f>
        <v>#REF!</v>
      </c>
      <c r="AE22" t="e">
        <f>AND(#REF!,"AAAAAH737x4=")</f>
        <v>#REF!</v>
      </c>
      <c r="AF22" t="e">
        <f>AND(#REF!,"AAAAAH737x8=")</f>
        <v>#REF!</v>
      </c>
      <c r="AG22" t="e">
        <f>AND(#REF!,"AAAAAH737yA=")</f>
        <v>#REF!</v>
      </c>
      <c r="AH22" t="e">
        <f>AND(#REF!,"AAAAAH737yE=")</f>
        <v>#REF!</v>
      </c>
      <c r="AI22" t="e">
        <f>AND(#REF!,"AAAAAH737yI=")</f>
        <v>#REF!</v>
      </c>
      <c r="AJ22" t="e">
        <f>IF(#REF!,"AAAAAH737yM=",0)</f>
        <v>#REF!</v>
      </c>
      <c r="AK22" t="e">
        <f>AND(#REF!,"AAAAAH737yQ=")</f>
        <v>#REF!</v>
      </c>
      <c r="AL22" t="e">
        <f>AND(#REF!,"AAAAAH737yU=")</f>
        <v>#REF!</v>
      </c>
      <c r="AM22" t="e">
        <f>AND(#REF!,"AAAAAH737yY=")</f>
        <v>#REF!</v>
      </c>
      <c r="AN22" t="e">
        <f>AND(#REF!,"AAAAAH737yc=")</f>
        <v>#REF!</v>
      </c>
      <c r="AO22" t="e">
        <f>AND(#REF!,"AAAAAH737yg=")</f>
        <v>#REF!</v>
      </c>
      <c r="AP22" t="e">
        <f>AND(#REF!,"AAAAAH737yk=")</f>
        <v>#REF!</v>
      </c>
      <c r="AQ22" t="e">
        <f>AND(#REF!,"AAAAAH737yo=")</f>
        <v>#REF!</v>
      </c>
      <c r="AR22" t="e">
        <f>AND(#REF!,"AAAAAH737ys=")</f>
        <v>#REF!</v>
      </c>
      <c r="AS22" t="e">
        <f>AND(#REF!,"AAAAAH737yw=")</f>
        <v>#REF!</v>
      </c>
      <c r="AT22" t="e">
        <f>AND(#REF!,"AAAAAH737y0=")</f>
        <v>#REF!</v>
      </c>
      <c r="AU22" t="e">
        <f>AND(#REF!,"AAAAAH737y4=")</f>
        <v>#REF!</v>
      </c>
      <c r="AV22" t="e">
        <f>AND(#REF!,"AAAAAH737y8=")</f>
        <v>#REF!</v>
      </c>
      <c r="AW22" t="e">
        <f>AND(#REF!,"AAAAAH737zA=")</f>
        <v>#REF!</v>
      </c>
      <c r="AX22" t="e">
        <f>AND(#REF!,"AAAAAH737zE=")</f>
        <v>#REF!</v>
      </c>
      <c r="AY22" t="e">
        <f>AND(#REF!,"AAAAAH737zI=")</f>
        <v>#REF!</v>
      </c>
      <c r="AZ22" t="e">
        <f>AND(#REF!,"AAAAAH737zM=")</f>
        <v>#REF!</v>
      </c>
      <c r="BA22" t="e">
        <f>AND(#REF!,"AAAAAH737zQ=")</f>
        <v>#REF!</v>
      </c>
      <c r="BB22" t="e">
        <f>AND(#REF!,"AAAAAH737zU=")</f>
        <v>#REF!</v>
      </c>
      <c r="BC22" t="e">
        <f>IF(#REF!,"AAAAAH737zY=",0)</f>
        <v>#REF!</v>
      </c>
      <c r="BD22" t="e">
        <f>AND(#REF!,"AAAAAH737zc=")</f>
        <v>#REF!</v>
      </c>
      <c r="BE22" t="e">
        <f>AND(#REF!,"AAAAAH737zg=")</f>
        <v>#REF!</v>
      </c>
      <c r="BF22" t="e">
        <f>AND(#REF!,"AAAAAH737zk=")</f>
        <v>#REF!</v>
      </c>
      <c r="BG22" t="e">
        <f>AND(#REF!,"AAAAAH737zo=")</f>
        <v>#REF!</v>
      </c>
      <c r="BH22" t="e">
        <f>AND(#REF!,"AAAAAH737zs=")</f>
        <v>#REF!</v>
      </c>
      <c r="BI22" t="e">
        <f>AND(#REF!,"AAAAAH737zw=")</f>
        <v>#REF!</v>
      </c>
      <c r="BJ22" t="e">
        <f>AND(#REF!,"AAAAAH737z0=")</f>
        <v>#REF!</v>
      </c>
      <c r="BK22" t="e">
        <f>AND(#REF!,"AAAAAH737z4=")</f>
        <v>#REF!</v>
      </c>
      <c r="BL22" t="e">
        <f>AND(#REF!,"AAAAAH737z8=")</f>
        <v>#REF!</v>
      </c>
      <c r="BM22" t="e">
        <f>AND(#REF!,"AAAAAH7370A=")</f>
        <v>#REF!</v>
      </c>
      <c r="BN22" t="e">
        <f>AND(#REF!,"AAAAAH7370E=")</f>
        <v>#REF!</v>
      </c>
      <c r="BO22" t="e">
        <f>AND(#REF!,"AAAAAH7370I=")</f>
        <v>#REF!</v>
      </c>
      <c r="BP22" t="e">
        <f>AND(#REF!,"AAAAAH7370M=")</f>
        <v>#REF!</v>
      </c>
      <c r="BQ22" t="e">
        <f>AND(#REF!,"AAAAAH7370Q=")</f>
        <v>#REF!</v>
      </c>
      <c r="BR22" t="e">
        <f>AND(#REF!,"AAAAAH7370U=")</f>
        <v>#REF!</v>
      </c>
      <c r="BS22" t="e">
        <f>AND(#REF!,"AAAAAH7370Y=")</f>
        <v>#REF!</v>
      </c>
      <c r="BT22" t="e">
        <f>AND(#REF!,"AAAAAH7370c=")</f>
        <v>#REF!</v>
      </c>
      <c r="BU22" t="e">
        <f>AND(#REF!,"AAAAAH7370g=")</f>
        <v>#REF!</v>
      </c>
      <c r="BV22" t="e">
        <f>IF(#REF!,"AAAAAH7370k=",0)</f>
        <v>#REF!</v>
      </c>
      <c r="BW22" t="e">
        <f>AND(#REF!,"AAAAAH7370o=")</f>
        <v>#REF!</v>
      </c>
      <c r="BX22" t="e">
        <f>AND(#REF!,"AAAAAH7370s=")</f>
        <v>#REF!</v>
      </c>
      <c r="BY22" t="e">
        <f>AND(#REF!,"AAAAAH7370w=")</f>
        <v>#REF!</v>
      </c>
      <c r="BZ22" t="e">
        <f>AND(#REF!,"AAAAAH73700=")</f>
        <v>#REF!</v>
      </c>
      <c r="CA22" t="e">
        <f>AND(#REF!,"AAAAAH73704=")</f>
        <v>#REF!</v>
      </c>
      <c r="CB22" t="e">
        <f>AND(#REF!,"AAAAAH73708=")</f>
        <v>#REF!</v>
      </c>
      <c r="CC22" t="e">
        <f>AND(#REF!,"AAAAAH7371A=")</f>
        <v>#REF!</v>
      </c>
      <c r="CD22" t="e">
        <f>AND(#REF!,"AAAAAH7371E=")</f>
        <v>#REF!</v>
      </c>
      <c r="CE22" t="e">
        <f>AND(#REF!,"AAAAAH7371I=")</f>
        <v>#REF!</v>
      </c>
      <c r="CF22" t="e">
        <f>AND(#REF!,"AAAAAH7371M=")</f>
        <v>#REF!</v>
      </c>
      <c r="CG22" t="e">
        <f>AND(#REF!,"AAAAAH7371Q=")</f>
        <v>#REF!</v>
      </c>
      <c r="CH22" t="e">
        <f>AND(#REF!,"AAAAAH7371U=")</f>
        <v>#REF!</v>
      </c>
      <c r="CI22" t="e">
        <f>AND(#REF!,"AAAAAH7371Y=")</f>
        <v>#REF!</v>
      </c>
      <c r="CJ22" t="e">
        <f>AND(#REF!,"AAAAAH7371c=")</f>
        <v>#REF!</v>
      </c>
      <c r="CK22" t="e">
        <f>AND(#REF!,"AAAAAH7371g=")</f>
        <v>#REF!</v>
      </c>
      <c r="CL22" t="e">
        <f>AND(#REF!,"AAAAAH7371k=")</f>
        <v>#REF!</v>
      </c>
      <c r="CM22" t="e">
        <f>AND(#REF!,"AAAAAH7371o=")</f>
        <v>#REF!</v>
      </c>
      <c r="CN22" t="e">
        <f>AND(#REF!,"AAAAAH7371s=")</f>
        <v>#REF!</v>
      </c>
      <c r="CO22" t="e">
        <f>IF(#REF!,"AAAAAH7371w=",0)</f>
        <v>#REF!</v>
      </c>
      <c r="CP22" t="e">
        <f>AND(#REF!,"AAAAAH73710=")</f>
        <v>#REF!</v>
      </c>
      <c r="CQ22" t="e">
        <f>AND(#REF!,"AAAAAH73714=")</f>
        <v>#REF!</v>
      </c>
      <c r="CR22" t="e">
        <f>AND(#REF!,"AAAAAH73718=")</f>
        <v>#REF!</v>
      </c>
      <c r="CS22" t="e">
        <f>AND(#REF!,"AAAAAH7372A=")</f>
        <v>#REF!</v>
      </c>
      <c r="CT22" t="e">
        <f>AND(#REF!,"AAAAAH7372E=")</f>
        <v>#REF!</v>
      </c>
      <c r="CU22" t="e">
        <f>AND(#REF!,"AAAAAH7372I=")</f>
        <v>#REF!</v>
      </c>
      <c r="CV22" t="e">
        <f>AND(#REF!,"AAAAAH7372M=")</f>
        <v>#REF!</v>
      </c>
      <c r="CW22" t="e">
        <f>AND(#REF!,"AAAAAH7372Q=")</f>
        <v>#REF!</v>
      </c>
      <c r="CX22" t="e">
        <f>AND(#REF!,"AAAAAH7372U=")</f>
        <v>#REF!</v>
      </c>
      <c r="CY22" t="e">
        <f>AND(#REF!,"AAAAAH7372Y=")</f>
        <v>#REF!</v>
      </c>
      <c r="CZ22" t="e">
        <f>AND(#REF!,"AAAAAH7372c=")</f>
        <v>#REF!</v>
      </c>
      <c r="DA22" t="e">
        <f>AND(#REF!,"AAAAAH7372g=")</f>
        <v>#REF!</v>
      </c>
      <c r="DB22" t="e">
        <f>AND(#REF!,"AAAAAH7372k=")</f>
        <v>#REF!</v>
      </c>
      <c r="DC22" t="e">
        <f>AND(#REF!,"AAAAAH7372o=")</f>
        <v>#REF!</v>
      </c>
      <c r="DD22" t="e">
        <f>AND(#REF!,"AAAAAH7372s=")</f>
        <v>#REF!</v>
      </c>
      <c r="DE22" t="e">
        <f>AND(#REF!,"AAAAAH7372w=")</f>
        <v>#REF!</v>
      </c>
      <c r="DF22" t="e">
        <f>AND(#REF!,"AAAAAH73720=")</f>
        <v>#REF!</v>
      </c>
      <c r="DG22" t="e">
        <f>AND(#REF!,"AAAAAH73724=")</f>
        <v>#REF!</v>
      </c>
      <c r="DH22" t="e">
        <f>IF(#REF!,"AAAAAH73728=",0)</f>
        <v>#REF!</v>
      </c>
      <c r="DI22" t="e">
        <f>AND(#REF!,"AAAAAH7373A=")</f>
        <v>#REF!</v>
      </c>
      <c r="DJ22" t="e">
        <f>AND(#REF!,"AAAAAH7373E=")</f>
        <v>#REF!</v>
      </c>
      <c r="DK22" t="e">
        <f>AND(#REF!,"AAAAAH7373I=")</f>
        <v>#REF!</v>
      </c>
      <c r="DL22" t="e">
        <f>AND(#REF!,"AAAAAH7373M=")</f>
        <v>#REF!</v>
      </c>
      <c r="DM22" t="e">
        <f>AND(#REF!,"AAAAAH7373Q=")</f>
        <v>#REF!</v>
      </c>
      <c r="DN22" t="e">
        <f>AND(#REF!,"AAAAAH7373U=")</f>
        <v>#REF!</v>
      </c>
      <c r="DO22" t="e">
        <f>AND(#REF!,"AAAAAH7373Y=")</f>
        <v>#REF!</v>
      </c>
      <c r="DP22" t="e">
        <f>AND(#REF!,"AAAAAH7373c=")</f>
        <v>#REF!</v>
      </c>
      <c r="DQ22" t="e">
        <f>AND(#REF!,"AAAAAH7373g=")</f>
        <v>#REF!</v>
      </c>
      <c r="DR22" t="e">
        <f>AND(#REF!,"AAAAAH7373k=")</f>
        <v>#REF!</v>
      </c>
      <c r="DS22" t="e">
        <f>AND(#REF!,"AAAAAH7373o=")</f>
        <v>#REF!</v>
      </c>
      <c r="DT22" t="e">
        <f>AND(#REF!,"AAAAAH7373s=")</f>
        <v>#REF!</v>
      </c>
      <c r="DU22" t="e">
        <f>AND(#REF!,"AAAAAH7373w=")</f>
        <v>#REF!</v>
      </c>
      <c r="DV22" t="e">
        <f>AND(#REF!,"AAAAAH73730=")</f>
        <v>#REF!</v>
      </c>
      <c r="DW22" t="e">
        <f>AND(#REF!,"AAAAAH73734=")</f>
        <v>#REF!</v>
      </c>
      <c r="DX22" t="e">
        <f>AND(#REF!,"AAAAAH73738=")</f>
        <v>#REF!</v>
      </c>
      <c r="DY22" t="e">
        <f>AND(#REF!,"AAAAAH7374A=")</f>
        <v>#REF!</v>
      </c>
      <c r="DZ22" t="e">
        <f>AND(#REF!,"AAAAAH7374E=")</f>
        <v>#REF!</v>
      </c>
      <c r="EA22" t="e">
        <f>IF(#REF!,"AAAAAH7374I=",0)</f>
        <v>#REF!</v>
      </c>
      <c r="EB22" t="e">
        <f>AND(#REF!,"AAAAAH7374M=")</f>
        <v>#REF!</v>
      </c>
      <c r="EC22" t="e">
        <f>AND(#REF!,"AAAAAH7374Q=")</f>
        <v>#REF!</v>
      </c>
      <c r="ED22" t="e">
        <f>AND(#REF!,"AAAAAH7374U=")</f>
        <v>#REF!</v>
      </c>
      <c r="EE22" t="e">
        <f>AND(#REF!,"AAAAAH7374Y=")</f>
        <v>#REF!</v>
      </c>
      <c r="EF22" t="e">
        <f>AND(#REF!,"AAAAAH7374c=")</f>
        <v>#REF!</v>
      </c>
      <c r="EG22" t="e">
        <f>AND(#REF!,"AAAAAH7374g=")</f>
        <v>#REF!</v>
      </c>
      <c r="EH22" t="e">
        <f>AND(#REF!,"AAAAAH7374k=")</f>
        <v>#REF!</v>
      </c>
      <c r="EI22" t="e">
        <f>AND(#REF!,"AAAAAH7374o=")</f>
        <v>#REF!</v>
      </c>
      <c r="EJ22" t="e">
        <f>AND(#REF!,"AAAAAH7374s=")</f>
        <v>#REF!</v>
      </c>
      <c r="EK22" t="e">
        <f>AND(#REF!,"AAAAAH7374w=")</f>
        <v>#REF!</v>
      </c>
      <c r="EL22" t="e">
        <f>AND(#REF!,"AAAAAH73740=")</f>
        <v>#REF!</v>
      </c>
      <c r="EM22" t="e">
        <f>AND(#REF!,"AAAAAH73744=")</f>
        <v>#REF!</v>
      </c>
      <c r="EN22" t="e">
        <f>AND(#REF!,"AAAAAH73748=")</f>
        <v>#REF!</v>
      </c>
      <c r="EO22" t="e">
        <f>AND(#REF!,"AAAAAH7375A=")</f>
        <v>#REF!</v>
      </c>
      <c r="EP22" t="e">
        <f>AND(#REF!,"AAAAAH7375E=")</f>
        <v>#REF!</v>
      </c>
      <c r="EQ22" t="e">
        <f>AND(#REF!,"AAAAAH7375I=")</f>
        <v>#REF!</v>
      </c>
      <c r="ER22" t="e">
        <f>AND(#REF!,"AAAAAH7375M=")</f>
        <v>#REF!</v>
      </c>
      <c r="ES22" t="e">
        <f>AND(#REF!,"AAAAAH7375Q=")</f>
        <v>#REF!</v>
      </c>
      <c r="ET22" t="e">
        <f>IF(#REF!,"AAAAAH7375U=",0)</f>
        <v>#REF!</v>
      </c>
      <c r="EU22" t="e">
        <f>AND(#REF!,"AAAAAH7375Y=")</f>
        <v>#REF!</v>
      </c>
      <c r="EV22" t="e">
        <f>AND(#REF!,"AAAAAH7375c=")</f>
        <v>#REF!</v>
      </c>
      <c r="EW22" t="e">
        <f>AND(#REF!,"AAAAAH7375g=")</f>
        <v>#REF!</v>
      </c>
      <c r="EX22" t="e">
        <f>AND(#REF!,"AAAAAH7375k=")</f>
        <v>#REF!</v>
      </c>
      <c r="EY22" t="e">
        <f>AND(#REF!,"AAAAAH7375o=")</f>
        <v>#REF!</v>
      </c>
      <c r="EZ22" t="e">
        <f>AND(#REF!,"AAAAAH7375s=")</f>
        <v>#REF!</v>
      </c>
      <c r="FA22" t="e">
        <f>AND(#REF!,"AAAAAH7375w=")</f>
        <v>#REF!</v>
      </c>
      <c r="FB22" t="e">
        <f>AND(#REF!,"AAAAAH73750=")</f>
        <v>#REF!</v>
      </c>
      <c r="FC22" t="e">
        <f>AND(#REF!,"AAAAAH73754=")</f>
        <v>#REF!</v>
      </c>
      <c r="FD22" t="e">
        <f>AND(#REF!,"AAAAAH73758=")</f>
        <v>#REF!</v>
      </c>
      <c r="FE22" t="e">
        <f>AND(#REF!,"AAAAAH7376A=")</f>
        <v>#REF!</v>
      </c>
      <c r="FF22" t="e">
        <f>AND(#REF!,"AAAAAH7376E=")</f>
        <v>#REF!</v>
      </c>
      <c r="FG22" t="e">
        <f>AND(#REF!,"AAAAAH7376I=")</f>
        <v>#REF!</v>
      </c>
      <c r="FH22" t="e">
        <f>AND(#REF!,"AAAAAH7376M=")</f>
        <v>#REF!</v>
      </c>
      <c r="FI22" t="e">
        <f>AND(#REF!,"AAAAAH7376Q=")</f>
        <v>#REF!</v>
      </c>
      <c r="FJ22" t="e">
        <f>AND(#REF!,"AAAAAH7376U=")</f>
        <v>#REF!</v>
      </c>
      <c r="FK22" t="e">
        <f>AND(#REF!,"AAAAAH7376Y=")</f>
        <v>#REF!</v>
      </c>
      <c r="FL22" t="e">
        <f>AND(#REF!,"AAAAAH7376c=")</f>
        <v>#REF!</v>
      </c>
      <c r="FM22" t="e">
        <f>IF(#REF!,"AAAAAH7376g=",0)</f>
        <v>#REF!</v>
      </c>
      <c r="FN22" t="e">
        <f>AND(#REF!,"AAAAAH7376k=")</f>
        <v>#REF!</v>
      </c>
      <c r="FO22" t="e">
        <f>AND(#REF!,"AAAAAH7376o=")</f>
        <v>#REF!</v>
      </c>
      <c r="FP22" t="e">
        <f>AND(#REF!,"AAAAAH7376s=")</f>
        <v>#REF!</v>
      </c>
      <c r="FQ22" t="e">
        <f>AND(#REF!,"AAAAAH7376w=")</f>
        <v>#REF!</v>
      </c>
      <c r="FR22" t="e">
        <f>AND(#REF!,"AAAAAH73760=")</f>
        <v>#REF!</v>
      </c>
      <c r="FS22" t="e">
        <f>AND(#REF!,"AAAAAH73764=")</f>
        <v>#REF!</v>
      </c>
      <c r="FT22" t="e">
        <f>AND(#REF!,"AAAAAH73768=")</f>
        <v>#REF!</v>
      </c>
      <c r="FU22" t="e">
        <f>AND(#REF!,"AAAAAH7377A=")</f>
        <v>#REF!</v>
      </c>
      <c r="FV22" t="e">
        <f>AND(#REF!,"AAAAAH7377E=")</f>
        <v>#REF!</v>
      </c>
      <c r="FW22" t="e">
        <f>AND(#REF!,"AAAAAH7377I=")</f>
        <v>#REF!</v>
      </c>
      <c r="FX22" t="e">
        <f>AND(#REF!,"AAAAAH7377M=")</f>
        <v>#REF!</v>
      </c>
      <c r="FY22" t="e">
        <f>AND(#REF!,"AAAAAH7377Q=")</f>
        <v>#REF!</v>
      </c>
      <c r="FZ22" t="e">
        <f>AND(#REF!,"AAAAAH7377U=")</f>
        <v>#REF!</v>
      </c>
      <c r="GA22" t="e">
        <f>AND(#REF!,"AAAAAH7377Y=")</f>
        <v>#REF!</v>
      </c>
      <c r="GB22" t="e">
        <f>AND(#REF!,"AAAAAH7377c=")</f>
        <v>#REF!</v>
      </c>
      <c r="GC22" t="e">
        <f>AND(#REF!,"AAAAAH7377g=")</f>
        <v>#REF!</v>
      </c>
      <c r="GD22" t="e">
        <f>AND(#REF!,"AAAAAH7377k=")</f>
        <v>#REF!</v>
      </c>
      <c r="GE22" t="e">
        <f>AND(#REF!,"AAAAAH7377o=")</f>
        <v>#REF!</v>
      </c>
      <c r="GF22" t="e">
        <f>IF(#REF!,"AAAAAH7377s=",0)</f>
        <v>#REF!</v>
      </c>
      <c r="GG22" t="e">
        <f>AND(#REF!,"AAAAAH7377w=")</f>
        <v>#REF!</v>
      </c>
      <c r="GH22" t="e">
        <f>AND(#REF!,"AAAAAH73770=")</f>
        <v>#REF!</v>
      </c>
      <c r="GI22" t="e">
        <f>AND(#REF!,"AAAAAH73774=")</f>
        <v>#REF!</v>
      </c>
      <c r="GJ22" t="e">
        <f>AND(#REF!,"AAAAAH73778=")</f>
        <v>#REF!</v>
      </c>
      <c r="GK22" t="e">
        <f>AND(#REF!,"AAAAAH7378A=")</f>
        <v>#REF!</v>
      </c>
      <c r="GL22" t="e">
        <f>AND(#REF!,"AAAAAH7378E=")</f>
        <v>#REF!</v>
      </c>
      <c r="GM22" t="e">
        <f>AND(#REF!,"AAAAAH7378I=")</f>
        <v>#REF!</v>
      </c>
      <c r="GN22" t="e">
        <f>AND(#REF!,"AAAAAH7378M=")</f>
        <v>#REF!</v>
      </c>
      <c r="GO22" t="e">
        <f>AND(#REF!,"AAAAAH7378Q=")</f>
        <v>#REF!</v>
      </c>
      <c r="GP22" t="e">
        <f>AND(#REF!,"AAAAAH7378U=")</f>
        <v>#REF!</v>
      </c>
      <c r="GQ22" t="e">
        <f>AND(#REF!,"AAAAAH7378Y=")</f>
        <v>#REF!</v>
      </c>
      <c r="GR22" t="e">
        <f>AND(#REF!,"AAAAAH7378c=")</f>
        <v>#REF!</v>
      </c>
      <c r="GS22" t="e">
        <f>AND(#REF!,"AAAAAH7378g=")</f>
        <v>#REF!</v>
      </c>
      <c r="GT22" t="e">
        <f>AND(#REF!,"AAAAAH7378k=")</f>
        <v>#REF!</v>
      </c>
      <c r="GU22" t="e">
        <f>AND(#REF!,"AAAAAH7378o=")</f>
        <v>#REF!</v>
      </c>
      <c r="GV22" t="e">
        <f>AND(#REF!,"AAAAAH7378s=")</f>
        <v>#REF!</v>
      </c>
      <c r="GW22" t="e">
        <f>AND(#REF!,"AAAAAH7378w=")</f>
        <v>#REF!</v>
      </c>
      <c r="GX22" t="e">
        <f>AND(#REF!,"AAAAAH73780=")</f>
        <v>#REF!</v>
      </c>
      <c r="GY22" t="e">
        <f>IF(#REF!,"AAAAAH73784=",0)</f>
        <v>#REF!</v>
      </c>
      <c r="GZ22" t="e">
        <f>AND(#REF!,"AAAAAH73788=")</f>
        <v>#REF!</v>
      </c>
      <c r="HA22" t="e">
        <f>AND(#REF!,"AAAAAH7379A=")</f>
        <v>#REF!</v>
      </c>
      <c r="HB22" t="e">
        <f>AND(#REF!,"AAAAAH7379E=")</f>
        <v>#REF!</v>
      </c>
      <c r="HC22" t="e">
        <f>AND(#REF!,"AAAAAH7379I=")</f>
        <v>#REF!</v>
      </c>
      <c r="HD22" t="e">
        <f>AND(#REF!,"AAAAAH7379M=")</f>
        <v>#REF!</v>
      </c>
      <c r="HE22" t="e">
        <f>AND(#REF!,"AAAAAH7379Q=")</f>
        <v>#REF!</v>
      </c>
      <c r="HF22" t="e">
        <f>AND(#REF!,"AAAAAH7379U=")</f>
        <v>#REF!</v>
      </c>
      <c r="HG22" t="e">
        <f>AND(#REF!,"AAAAAH7379Y=")</f>
        <v>#REF!</v>
      </c>
      <c r="HH22" t="e">
        <f>AND(#REF!,"AAAAAH7379c=")</f>
        <v>#REF!</v>
      </c>
      <c r="HI22" t="e">
        <f>AND(#REF!,"AAAAAH7379g=")</f>
        <v>#REF!</v>
      </c>
      <c r="HJ22" t="e">
        <f>AND(#REF!,"AAAAAH7379k=")</f>
        <v>#REF!</v>
      </c>
      <c r="HK22" t="e">
        <f>AND(#REF!,"AAAAAH7379o=")</f>
        <v>#REF!</v>
      </c>
      <c r="HL22" t="e">
        <f>AND(#REF!,"AAAAAH7379s=")</f>
        <v>#REF!</v>
      </c>
      <c r="HM22" t="e">
        <f>AND(#REF!,"AAAAAH7379w=")</f>
        <v>#REF!</v>
      </c>
      <c r="HN22" t="e">
        <f>AND(#REF!,"AAAAAH73790=")</f>
        <v>#REF!</v>
      </c>
      <c r="HO22" t="e">
        <f>AND(#REF!,"AAAAAH73794=")</f>
        <v>#REF!</v>
      </c>
      <c r="HP22" t="e">
        <f>AND(#REF!,"AAAAAH73798=")</f>
        <v>#REF!</v>
      </c>
      <c r="HQ22" t="e">
        <f>AND(#REF!,"AAAAAH737+A=")</f>
        <v>#REF!</v>
      </c>
      <c r="HR22" t="e">
        <f>IF(#REF!,"AAAAAH737+E=",0)</f>
        <v>#REF!</v>
      </c>
      <c r="HS22" t="e">
        <f>AND(#REF!,"AAAAAH737+I=")</f>
        <v>#REF!</v>
      </c>
      <c r="HT22" t="e">
        <f>AND(#REF!,"AAAAAH737+M=")</f>
        <v>#REF!</v>
      </c>
      <c r="HU22" t="e">
        <f>AND(#REF!,"AAAAAH737+Q=")</f>
        <v>#REF!</v>
      </c>
      <c r="HV22" t="e">
        <f>AND(#REF!,"AAAAAH737+U=")</f>
        <v>#REF!</v>
      </c>
      <c r="HW22" t="e">
        <f>AND(#REF!,"AAAAAH737+Y=")</f>
        <v>#REF!</v>
      </c>
      <c r="HX22" t="e">
        <f>AND(#REF!,"AAAAAH737+c=")</f>
        <v>#REF!</v>
      </c>
      <c r="HY22" t="e">
        <f>AND(#REF!,"AAAAAH737+g=")</f>
        <v>#REF!</v>
      </c>
      <c r="HZ22" t="e">
        <f>AND(#REF!,"AAAAAH737+k=")</f>
        <v>#REF!</v>
      </c>
      <c r="IA22" t="e">
        <f>AND(#REF!,"AAAAAH737+o=")</f>
        <v>#REF!</v>
      </c>
      <c r="IB22" t="e">
        <f>AND(#REF!,"AAAAAH737+s=")</f>
        <v>#REF!</v>
      </c>
      <c r="IC22" t="e">
        <f>AND(#REF!,"AAAAAH737+w=")</f>
        <v>#REF!</v>
      </c>
      <c r="ID22" t="e">
        <f>AND(#REF!,"AAAAAH737+0=")</f>
        <v>#REF!</v>
      </c>
      <c r="IE22" t="e">
        <f>AND(#REF!,"AAAAAH737+4=")</f>
        <v>#REF!</v>
      </c>
      <c r="IF22" t="e">
        <f>AND(#REF!,"AAAAAH737+8=")</f>
        <v>#REF!</v>
      </c>
      <c r="IG22" t="e">
        <f>AND(#REF!,"AAAAAH737/A=")</f>
        <v>#REF!</v>
      </c>
      <c r="IH22" t="e">
        <f>AND(#REF!,"AAAAAH737/E=")</f>
        <v>#REF!</v>
      </c>
      <c r="II22" t="e">
        <f>AND(#REF!,"AAAAAH737/I=")</f>
        <v>#REF!</v>
      </c>
      <c r="IJ22" t="e">
        <f>AND(#REF!,"AAAAAH737/M=")</f>
        <v>#REF!</v>
      </c>
      <c r="IK22" t="e">
        <f>IF(#REF!,"AAAAAH737/Q=",0)</f>
        <v>#REF!</v>
      </c>
      <c r="IL22" t="e">
        <f>AND(#REF!,"AAAAAH737/U=")</f>
        <v>#REF!</v>
      </c>
      <c r="IM22" t="e">
        <f>AND(#REF!,"AAAAAH737/Y=")</f>
        <v>#REF!</v>
      </c>
      <c r="IN22" t="e">
        <f>AND(#REF!,"AAAAAH737/c=")</f>
        <v>#REF!</v>
      </c>
      <c r="IO22" t="e">
        <f>AND(#REF!,"AAAAAH737/g=")</f>
        <v>#REF!</v>
      </c>
      <c r="IP22" t="e">
        <f>AND(#REF!,"AAAAAH737/k=")</f>
        <v>#REF!</v>
      </c>
      <c r="IQ22" t="e">
        <f>AND(#REF!,"AAAAAH737/o=")</f>
        <v>#REF!</v>
      </c>
      <c r="IR22" t="e">
        <f>AND(#REF!,"AAAAAH737/s=")</f>
        <v>#REF!</v>
      </c>
      <c r="IS22" t="e">
        <f>AND(#REF!,"AAAAAH737/w=")</f>
        <v>#REF!</v>
      </c>
      <c r="IT22" t="e">
        <f>AND(#REF!,"AAAAAH737/0=")</f>
        <v>#REF!</v>
      </c>
      <c r="IU22" t="e">
        <f>AND(#REF!,"AAAAAH737/4=")</f>
        <v>#REF!</v>
      </c>
      <c r="IV22" t="e">
        <f>AND(#REF!,"AAAAAH737/8=")</f>
        <v>#REF!</v>
      </c>
    </row>
    <row r="23" spans="1:256" x14ac:dyDescent="0.15">
      <c r="A23" t="e">
        <f>AND(#REF!,"AAAAADf3dwA=")</f>
        <v>#REF!</v>
      </c>
      <c r="B23" t="e">
        <f>AND(#REF!,"AAAAADf3dwE=")</f>
        <v>#REF!</v>
      </c>
      <c r="C23" t="e">
        <f>AND(#REF!,"AAAAADf3dwI=")</f>
        <v>#REF!</v>
      </c>
      <c r="D23" t="e">
        <f>AND(#REF!,"AAAAADf3dwM=")</f>
        <v>#REF!</v>
      </c>
      <c r="E23" t="e">
        <f>AND(#REF!,"AAAAADf3dwQ=")</f>
        <v>#REF!</v>
      </c>
      <c r="F23" t="e">
        <f>AND(#REF!,"AAAAADf3dwU=")</f>
        <v>#REF!</v>
      </c>
      <c r="G23" t="e">
        <f>AND(#REF!,"AAAAADf3dwY=")</f>
        <v>#REF!</v>
      </c>
      <c r="H23" t="e">
        <f>IF(#REF!,"AAAAADf3dwc=",0)</f>
        <v>#REF!</v>
      </c>
      <c r="I23" t="e">
        <f>AND(#REF!,"AAAAADf3dwg=")</f>
        <v>#REF!</v>
      </c>
      <c r="J23" t="e">
        <f>AND(#REF!,"AAAAADf3dwk=")</f>
        <v>#REF!</v>
      </c>
      <c r="K23" t="e">
        <f>AND(#REF!,"AAAAADf3dwo=")</f>
        <v>#REF!</v>
      </c>
      <c r="L23" t="e">
        <f>AND(#REF!,"AAAAADf3dws=")</f>
        <v>#REF!</v>
      </c>
      <c r="M23" t="e">
        <f>AND(#REF!,"AAAAADf3dww=")</f>
        <v>#REF!</v>
      </c>
      <c r="N23" t="e">
        <f>AND(#REF!,"AAAAADf3dw0=")</f>
        <v>#REF!</v>
      </c>
      <c r="O23" t="e">
        <f>AND(#REF!,"AAAAADf3dw4=")</f>
        <v>#REF!</v>
      </c>
      <c r="P23" t="e">
        <f>AND(#REF!,"AAAAADf3dw8=")</f>
        <v>#REF!</v>
      </c>
      <c r="Q23" t="e">
        <f>AND(#REF!,"AAAAADf3dxA=")</f>
        <v>#REF!</v>
      </c>
      <c r="R23" t="e">
        <f>AND(#REF!,"AAAAADf3dxE=")</f>
        <v>#REF!</v>
      </c>
      <c r="S23" t="e">
        <f>AND(#REF!,"AAAAADf3dxI=")</f>
        <v>#REF!</v>
      </c>
      <c r="T23" t="e">
        <f>AND(#REF!,"AAAAADf3dxM=")</f>
        <v>#REF!</v>
      </c>
      <c r="U23" t="e">
        <f>AND(#REF!,"AAAAADf3dxQ=")</f>
        <v>#REF!</v>
      </c>
      <c r="V23" t="e">
        <f>AND(#REF!,"AAAAADf3dxU=")</f>
        <v>#REF!</v>
      </c>
      <c r="W23" t="e">
        <f>AND(#REF!,"AAAAADf3dxY=")</f>
        <v>#REF!</v>
      </c>
      <c r="X23" t="e">
        <f>AND(#REF!,"AAAAADf3dxc=")</f>
        <v>#REF!</v>
      </c>
      <c r="Y23" t="e">
        <f>AND(#REF!,"AAAAADf3dxg=")</f>
        <v>#REF!</v>
      </c>
      <c r="Z23" t="e">
        <f>AND(#REF!,"AAAAADf3dxk=")</f>
        <v>#REF!</v>
      </c>
      <c r="AA23" t="e">
        <f>IF(#REF!,"AAAAADf3dxo=",0)</f>
        <v>#REF!</v>
      </c>
      <c r="AB23" t="e">
        <f>AND(#REF!,"AAAAADf3dxs=")</f>
        <v>#REF!</v>
      </c>
      <c r="AC23" t="e">
        <f>AND(#REF!,"AAAAADf3dxw=")</f>
        <v>#REF!</v>
      </c>
      <c r="AD23" t="e">
        <f>AND(#REF!,"AAAAADf3dx0=")</f>
        <v>#REF!</v>
      </c>
      <c r="AE23" t="e">
        <f>AND(#REF!,"AAAAADf3dx4=")</f>
        <v>#REF!</v>
      </c>
      <c r="AF23" t="e">
        <f>AND(#REF!,"AAAAADf3dx8=")</f>
        <v>#REF!</v>
      </c>
      <c r="AG23" t="e">
        <f>AND(#REF!,"AAAAADf3dyA=")</f>
        <v>#REF!</v>
      </c>
      <c r="AH23" t="e">
        <f>AND(#REF!,"AAAAADf3dyE=")</f>
        <v>#REF!</v>
      </c>
      <c r="AI23" t="e">
        <f>AND(#REF!,"AAAAADf3dyI=")</f>
        <v>#REF!</v>
      </c>
      <c r="AJ23" t="e">
        <f>AND(#REF!,"AAAAADf3dyM=")</f>
        <v>#REF!</v>
      </c>
      <c r="AK23" t="e">
        <f>AND(#REF!,"AAAAADf3dyQ=")</f>
        <v>#REF!</v>
      </c>
      <c r="AL23" t="e">
        <f>AND(#REF!,"AAAAADf3dyU=")</f>
        <v>#REF!</v>
      </c>
      <c r="AM23" t="e">
        <f>AND(#REF!,"AAAAADf3dyY=")</f>
        <v>#REF!</v>
      </c>
      <c r="AN23" t="e">
        <f>AND(#REF!,"AAAAADf3dyc=")</f>
        <v>#REF!</v>
      </c>
      <c r="AO23" t="e">
        <f>AND(#REF!,"AAAAADf3dyg=")</f>
        <v>#REF!</v>
      </c>
      <c r="AP23" t="e">
        <f>AND(#REF!,"AAAAADf3dyk=")</f>
        <v>#REF!</v>
      </c>
      <c r="AQ23" t="e">
        <f>AND(#REF!,"AAAAADf3dyo=")</f>
        <v>#REF!</v>
      </c>
      <c r="AR23" t="e">
        <f>AND(#REF!,"AAAAADf3dys=")</f>
        <v>#REF!</v>
      </c>
      <c r="AS23" t="e">
        <f>AND(#REF!,"AAAAADf3dyw=")</f>
        <v>#REF!</v>
      </c>
      <c r="AT23" t="e">
        <f>IF(#REF!,"AAAAADf3dy0=",0)</f>
        <v>#REF!</v>
      </c>
      <c r="AU23" t="e">
        <f>AND(#REF!,"AAAAADf3dy4=")</f>
        <v>#REF!</v>
      </c>
      <c r="AV23" t="e">
        <f>AND(#REF!,"AAAAADf3dy8=")</f>
        <v>#REF!</v>
      </c>
      <c r="AW23" t="e">
        <f>AND(#REF!,"AAAAADf3dzA=")</f>
        <v>#REF!</v>
      </c>
      <c r="AX23" t="e">
        <f>AND(#REF!,"AAAAADf3dzE=")</f>
        <v>#REF!</v>
      </c>
      <c r="AY23" t="e">
        <f>AND(#REF!,"AAAAADf3dzI=")</f>
        <v>#REF!</v>
      </c>
      <c r="AZ23" t="e">
        <f>AND(#REF!,"AAAAADf3dzM=")</f>
        <v>#REF!</v>
      </c>
      <c r="BA23" t="e">
        <f>AND(#REF!,"AAAAADf3dzQ=")</f>
        <v>#REF!</v>
      </c>
      <c r="BB23" t="e">
        <f>AND(#REF!,"AAAAADf3dzU=")</f>
        <v>#REF!</v>
      </c>
      <c r="BC23" t="e">
        <f>AND(#REF!,"AAAAADf3dzY=")</f>
        <v>#REF!</v>
      </c>
      <c r="BD23" t="e">
        <f>AND(#REF!,"AAAAADf3dzc=")</f>
        <v>#REF!</v>
      </c>
      <c r="BE23" t="e">
        <f>AND(#REF!,"AAAAADf3dzg=")</f>
        <v>#REF!</v>
      </c>
      <c r="BF23" t="e">
        <f>AND(#REF!,"AAAAADf3dzk=")</f>
        <v>#REF!</v>
      </c>
      <c r="BG23" t="e">
        <f>AND(#REF!,"AAAAADf3dzo=")</f>
        <v>#REF!</v>
      </c>
      <c r="BH23" t="e">
        <f>AND(#REF!,"AAAAADf3dzs=")</f>
        <v>#REF!</v>
      </c>
      <c r="BI23" t="e">
        <f>AND(#REF!,"AAAAADf3dzw=")</f>
        <v>#REF!</v>
      </c>
      <c r="BJ23" t="e">
        <f>AND(#REF!,"AAAAADf3dz0=")</f>
        <v>#REF!</v>
      </c>
      <c r="BK23" t="e">
        <f>AND(#REF!,"AAAAADf3dz4=")</f>
        <v>#REF!</v>
      </c>
      <c r="BL23" t="e">
        <f>AND(#REF!,"AAAAADf3dz8=")</f>
        <v>#REF!</v>
      </c>
      <c r="BM23" t="e">
        <f>IF(#REF!,"AAAAADf3d0A=",0)</f>
        <v>#REF!</v>
      </c>
      <c r="BN23" t="e">
        <f>AND(#REF!,"AAAAADf3d0E=")</f>
        <v>#REF!</v>
      </c>
      <c r="BO23" t="e">
        <f>AND(#REF!,"AAAAADf3d0I=")</f>
        <v>#REF!</v>
      </c>
      <c r="BP23" t="e">
        <f>AND(#REF!,"AAAAADf3d0M=")</f>
        <v>#REF!</v>
      </c>
      <c r="BQ23" t="e">
        <f>AND(#REF!,"AAAAADf3d0Q=")</f>
        <v>#REF!</v>
      </c>
      <c r="BR23" t="e">
        <f>AND(#REF!,"AAAAADf3d0U=")</f>
        <v>#REF!</v>
      </c>
      <c r="BS23" t="e">
        <f>AND(#REF!,"AAAAADf3d0Y=")</f>
        <v>#REF!</v>
      </c>
      <c r="BT23" t="e">
        <f>AND(#REF!,"AAAAADf3d0c=")</f>
        <v>#REF!</v>
      </c>
      <c r="BU23" t="e">
        <f>AND(#REF!,"AAAAADf3d0g=")</f>
        <v>#REF!</v>
      </c>
      <c r="BV23" t="e">
        <f>AND(#REF!,"AAAAADf3d0k=")</f>
        <v>#REF!</v>
      </c>
      <c r="BW23" t="e">
        <f>AND(#REF!,"AAAAADf3d0o=")</f>
        <v>#REF!</v>
      </c>
      <c r="BX23" t="e">
        <f>AND(#REF!,"AAAAADf3d0s=")</f>
        <v>#REF!</v>
      </c>
      <c r="BY23" t="e">
        <f>AND(#REF!,"AAAAADf3d0w=")</f>
        <v>#REF!</v>
      </c>
      <c r="BZ23" t="e">
        <f>AND(#REF!,"AAAAADf3d00=")</f>
        <v>#REF!</v>
      </c>
      <c r="CA23" t="e">
        <f>AND(#REF!,"AAAAADf3d04=")</f>
        <v>#REF!</v>
      </c>
      <c r="CB23" t="e">
        <f>AND(#REF!,"AAAAADf3d08=")</f>
        <v>#REF!</v>
      </c>
      <c r="CC23" t="e">
        <f>AND(#REF!,"AAAAADf3d1A=")</f>
        <v>#REF!</v>
      </c>
      <c r="CD23" t="e">
        <f>AND(#REF!,"AAAAADf3d1E=")</f>
        <v>#REF!</v>
      </c>
      <c r="CE23" t="e">
        <f>AND(#REF!,"AAAAADf3d1I=")</f>
        <v>#REF!</v>
      </c>
      <c r="CF23" t="e">
        <f>IF(#REF!,"AAAAADf3d1M=",0)</f>
        <v>#REF!</v>
      </c>
      <c r="CG23" t="e">
        <f>AND(#REF!,"AAAAADf3d1Q=")</f>
        <v>#REF!</v>
      </c>
      <c r="CH23" t="e">
        <f>AND(#REF!,"AAAAADf3d1U=")</f>
        <v>#REF!</v>
      </c>
      <c r="CI23" t="e">
        <f>AND(#REF!,"AAAAADf3d1Y=")</f>
        <v>#REF!</v>
      </c>
      <c r="CJ23" t="e">
        <f>AND(#REF!,"AAAAADf3d1c=")</f>
        <v>#REF!</v>
      </c>
      <c r="CK23" t="e">
        <f>AND(#REF!,"AAAAADf3d1g=")</f>
        <v>#REF!</v>
      </c>
      <c r="CL23" t="e">
        <f>AND(#REF!,"AAAAADf3d1k=")</f>
        <v>#REF!</v>
      </c>
      <c r="CM23" t="e">
        <f>AND(#REF!,"AAAAADf3d1o=")</f>
        <v>#REF!</v>
      </c>
      <c r="CN23" t="e">
        <f>AND(#REF!,"AAAAADf3d1s=")</f>
        <v>#REF!</v>
      </c>
      <c r="CO23" t="e">
        <f>AND(#REF!,"AAAAADf3d1w=")</f>
        <v>#REF!</v>
      </c>
      <c r="CP23" t="e">
        <f>AND(#REF!,"AAAAADf3d10=")</f>
        <v>#REF!</v>
      </c>
      <c r="CQ23" t="e">
        <f>AND(#REF!,"AAAAADf3d14=")</f>
        <v>#REF!</v>
      </c>
      <c r="CR23" t="e">
        <f>AND(#REF!,"AAAAADf3d18=")</f>
        <v>#REF!</v>
      </c>
      <c r="CS23" t="e">
        <f>AND(#REF!,"AAAAADf3d2A=")</f>
        <v>#REF!</v>
      </c>
      <c r="CT23" t="e">
        <f>AND(#REF!,"AAAAADf3d2E=")</f>
        <v>#REF!</v>
      </c>
      <c r="CU23" t="e">
        <f>AND(#REF!,"AAAAADf3d2I=")</f>
        <v>#REF!</v>
      </c>
      <c r="CV23" t="e">
        <f>AND(#REF!,"AAAAADf3d2M=")</f>
        <v>#REF!</v>
      </c>
      <c r="CW23" t="e">
        <f>AND(#REF!,"AAAAADf3d2Q=")</f>
        <v>#REF!</v>
      </c>
      <c r="CX23" t="e">
        <f>AND(#REF!,"AAAAADf3d2U=")</f>
        <v>#REF!</v>
      </c>
      <c r="CY23" t="e">
        <f>IF(#REF!,"AAAAADf3d2Y=",0)</f>
        <v>#REF!</v>
      </c>
      <c r="CZ23" t="e">
        <f>AND(#REF!,"AAAAADf3d2c=")</f>
        <v>#REF!</v>
      </c>
      <c r="DA23" t="e">
        <f>AND(#REF!,"AAAAADf3d2g=")</f>
        <v>#REF!</v>
      </c>
      <c r="DB23" t="e">
        <f>AND(#REF!,"AAAAADf3d2k=")</f>
        <v>#REF!</v>
      </c>
      <c r="DC23" t="e">
        <f>AND(#REF!,"AAAAADf3d2o=")</f>
        <v>#REF!</v>
      </c>
      <c r="DD23" t="e">
        <f>AND(#REF!,"AAAAADf3d2s=")</f>
        <v>#REF!</v>
      </c>
      <c r="DE23" t="e">
        <f>AND(#REF!,"AAAAADf3d2w=")</f>
        <v>#REF!</v>
      </c>
      <c r="DF23" t="e">
        <f>AND(#REF!,"AAAAADf3d20=")</f>
        <v>#REF!</v>
      </c>
      <c r="DG23" t="e">
        <f>AND(#REF!,"AAAAADf3d24=")</f>
        <v>#REF!</v>
      </c>
      <c r="DH23" t="e">
        <f>AND(#REF!,"AAAAADf3d28=")</f>
        <v>#REF!</v>
      </c>
      <c r="DI23" t="e">
        <f>AND(#REF!,"AAAAADf3d3A=")</f>
        <v>#REF!</v>
      </c>
      <c r="DJ23" t="e">
        <f>AND(#REF!,"AAAAADf3d3E=")</f>
        <v>#REF!</v>
      </c>
      <c r="DK23" t="e">
        <f>AND(#REF!,"AAAAADf3d3I=")</f>
        <v>#REF!</v>
      </c>
      <c r="DL23" t="e">
        <f>AND(#REF!,"AAAAADf3d3M=")</f>
        <v>#REF!</v>
      </c>
      <c r="DM23" t="e">
        <f>AND(#REF!,"AAAAADf3d3Q=")</f>
        <v>#REF!</v>
      </c>
      <c r="DN23" t="e">
        <f>AND(#REF!,"AAAAADf3d3U=")</f>
        <v>#REF!</v>
      </c>
      <c r="DO23" t="e">
        <f>AND(#REF!,"AAAAADf3d3Y=")</f>
        <v>#REF!</v>
      </c>
      <c r="DP23" t="e">
        <f>AND(#REF!,"AAAAADf3d3c=")</f>
        <v>#REF!</v>
      </c>
      <c r="DQ23" t="e">
        <f>AND(#REF!,"AAAAADf3d3g=")</f>
        <v>#REF!</v>
      </c>
      <c r="DR23" t="e">
        <f>IF(#REF!,"AAAAADf3d3k=",0)</f>
        <v>#REF!</v>
      </c>
      <c r="DS23" t="e">
        <f>AND(#REF!,"AAAAADf3d3o=")</f>
        <v>#REF!</v>
      </c>
      <c r="DT23" t="e">
        <f>AND(#REF!,"AAAAADf3d3s=")</f>
        <v>#REF!</v>
      </c>
      <c r="DU23" t="e">
        <f>AND(#REF!,"AAAAADf3d3w=")</f>
        <v>#REF!</v>
      </c>
      <c r="DV23" t="e">
        <f>AND(#REF!,"AAAAADf3d30=")</f>
        <v>#REF!</v>
      </c>
      <c r="DW23" t="e">
        <f>AND(#REF!,"AAAAADf3d34=")</f>
        <v>#REF!</v>
      </c>
      <c r="DX23" t="e">
        <f>AND(#REF!,"AAAAADf3d38=")</f>
        <v>#REF!</v>
      </c>
      <c r="DY23" t="e">
        <f>AND(#REF!,"AAAAADf3d4A=")</f>
        <v>#REF!</v>
      </c>
      <c r="DZ23" t="e">
        <f>AND(#REF!,"AAAAADf3d4E=")</f>
        <v>#REF!</v>
      </c>
      <c r="EA23" t="e">
        <f>AND(#REF!,"AAAAADf3d4I=")</f>
        <v>#REF!</v>
      </c>
      <c r="EB23" t="e">
        <f>AND(#REF!,"AAAAADf3d4M=")</f>
        <v>#REF!</v>
      </c>
      <c r="EC23" t="e">
        <f>AND(#REF!,"AAAAADf3d4Q=")</f>
        <v>#REF!</v>
      </c>
      <c r="ED23" t="e">
        <f>AND(#REF!,"AAAAADf3d4U=")</f>
        <v>#REF!</v>
      </c>
      <c r="EE23" t="e">
        <f>AND(#REF!,"AAAAADf3d4Y=")</f>
        <v>#REF!</v>
      </c>
      <c r="EF23" t="e">
        <f>AND(#REF!,"AAAAADf3d4c=")</f>
        <v>#REF!</v>
      </c>
      <c r="EG23" t="e">
        <f>AND(#REF!,"AAAAADf3d4g=")</f>
        <v>#REF!</v>
      </c>
      <c r="EH23" t="e">
        <f>AND(#REF!,"AAAAADf3d4k=")</f>
        <v>#REF!</v>
      </c>
      <c r="EI23" t="e">
        <f>AND(#REF!,"AAAAADf3d4o=")</f>
        <v>#REF!</v>
      </c>
      <c r="EJ23" t="e">
        <f>AND(#REF!,"AAAAADf3d4s=")</f>
        <v>#REF!</v>
      </c>
      <c r="EK23" t="e">
        <f>IF(#REF!,"AAAAADf3d4w=",0)</f>
        <v>#REF!</v>
      </c>
      <c r="EL23" t="e">
        <f>AND(#REF!,"AAAAADf3d40=")</f>
        <v>#REF!</v>
      </c>
      <c r="EM23" t="e">
        <f>AND(#REF!,"AAAAADf3d44=")</f>
        <v>#REF!</v>
      </c>
      <c r="EN23" t="e">
        <f>AND(#REF!,"AAAAADf3d48=")</f>
        <v>#REF!</v>
      </c>
      <c r="EO23" t="e">
        <f>AND(#REF!,"AAAAADf3d5A=")</f>
        <v>#REF!</v>
      </c>
      <c r="EP23" t="e">
        <f>AND(#REF!,"AAAAADf3d5E=")</f>
        <v>#REF!</v>
      </c>
      <c r="EQ23" t="e">
        <f>AND(#REF!,"AAAAADf3d5I=")</f>
        <v>#REF!</v>
      </c>
      <c r="ER23" t="e">
        <f>AND(#REF!,"AAAAADf3d5M=")</f>
        <v>#REF!</v>
      </c>
      <c r="ES23" t="e">
        <f>AND(#REF!,"AAAAADf3d5Q=")</f>
        <v>#REF!</v>
      </c>
      <c r="ET23" t="e">
        <f>AND(#REF!,"AAAAADf3d5U=")</f>
        <v>#REF!</v>
      </c>
      <c r="EU23" t="e">
        <f>AND(#REF!,"AAAAADf3d5Y=")</f>
        <v>#REF!</v>
      </c>
      <c r="EV23" t="e">
        <f>AND(#REF!,"AAAAADf3d5c=")</f>
        <v>#REF!</v>
      </c>
      <c r="EW23" t="e">
        <f>AND(#REF!,"AAAAADf3d5g=")</f>
        <v>#REF!</v>
      </c>
      <c r="EX23" t="e">
        <f>AND(#REF!,"AAAAADf3d5k=")</f>
        <v>#REF!</v>
      </c>
      <c r="EY23" t="e">
        <f>AND(#REF!,"AAAAADf3d5o=")</f>
        <v>#REF!</v>
      </c>
      <c r="EZ23" t="e">
        <f>AND(#REF!,"AAAAADf3d5s=")</f>
        <v>#REF!</v>
      </c>
      <c r="FA23" t="e">
        <f>AND(#REF!,"AAAAADf3d5w=")</f>
        <v>#REF!</v>
      </c>
      <c r="FB23" t="e">
        <f>AND(#REF!,"AAAAADf3d50=")</f>
        <v>#REF!</v>
      </c>
      <c r="FC23" t="e">
        <f>AND(#REF!,"AAAAADf3d54=")</f>
        <v>#REF!</v>
      </c>
      <c r="FD23" t="e">
        <f>IF(#REF!,"AAAAADf3d58=",0)</f>
        <v>#REF!</v>
      </c>
      <c r="FE23" t="e">
        <f>AND(#REF!,"AAAAADf3d6A=")</f>
        <v>#REF!</v>
      </c>
      <c r="FF23" t="e">
        <f>AND(#REF!,"AAAAADf3d6E=")</f>
        <v>#REF!</v>
      </c>
      <c r="FG23" t="e">
        <f>AND(#REF!,"AAAAADf3d6I=")</f>
        <v>#REF!</v>
      </c>
      <c r="FH23" t="e">
        <f>AND(#REF!,"AAAAADf3d6M=")</f>
        <v>#REF!</v>
      </c>
      <c r="FI23" t="e">
        <f>AND(#REF!,"AAAAADf3d6Q=")</f>
        <v>#REF!</v>
      </c>
      <c r="FJ23" t="e">
        <f>AND(#REF!,"AAAAADf3d6U=")</f>
        <v>#REF!</v>
      </c>
      <c r="FK23" t="e">
        <f>AND(#REF!,"AAAAADf3d6Y=")</f>
        <v>#REF!</v>
      </c>
      <c r="FL23" t="e">
        <f>AND(#REF!,"AAAAADf3d6c=")</f>
        <v>#REF!</v>
      </c>
      <c r="FM23" t="e">
        <f>AND(#REF!,"AAAAADf3d6g=")</f>
        <v>#REF!</v>
      </c>
      <c r="FN23" t="e">
        <f>AND(#REF!,"AAAAADf3d6k=")</f>
        <v>#REF!</v>
      </c>
      <c r="FO23" t="e">
        <f>AND(#REF!,"AAAAADf3d6o=")</f>
        <v>#REF!</v>
      </c>
      <c r="FP23" t="e">
        <f>AND(#REF!,"AAAAADf3d6s=")</f>
        <v>#REF!</v>
      </c>
      <c r="FQ23" t="e">
        <f>AND(#REF!,"AAAAADf3d6w=")</f>
        <v>#REF!</v>
      </c>
      <c r="FR23" t="e">
        <f>AND(#REF!,"AAAAADf3d60=")</f>
        <v>#REF!</v>
      </c>
      <c r="FS23" t="e">
        <f>AND(#REF!,"AAAAADf3d64=")</f>
        <v>#REF!</v>
      </c>
      <c r="FT23" t="e">
        <f>AND(#REF!,"AAAAADf3d68=")</f>
        <v>#REF!</v>
      </c>
      <c r="FU23" t="e">
        <f>AND(#REF!,"AAAAADf3d7A=")</f>
        <v>#REF!</v>
      </c>
      <c r="FV23" t="e">
        <f>AND(#REF!,"AAAAADf3d7E=")</f>
        <v>#REF!</v>
      </c>
      <c r="FW23" t="e">
        <f>IF(#REF!,"AAAAADf3d7I=",0)</f>
        <v>#REF!</v>
      </c>
      <c r="FX23" t="e">
        <f>AND(#REF!,"AAAAADf3d7M=")</f>
        <v>#REF!</v>
      </c>
      <c r="FY23" t="e">
        <f>AND(#REF!,"AAAAADf3d7Q=")</f>
        <v>#REF!</v>
      </c>
      <c r="FZ23" t="e">
        <f>AND(#REF!,"AAAAADf3d7U=")</f>
        <v>#REF!</v>
      </c>
      <c r="GA23" t="e">
        <f>AND(#REF!,"AAAAADf3d7Y=")</f>
        <v>#REF!</v>
      </c>
      <c r="GB23" t="e">
        <f>AND(#REF!,"AAAAADf3d7c=")</f>
        <v>#REF!</v>
      </c>
      <c r="GC23" t="e">
        <f>AND(#REF!,"AAAAADf3d7g=")</f>
        <v>#REF!</v>
      </c>
      <c r="GD23" t="e">
        <f>AND(#REF!,"AAAAADf3d7k=")</f>
        <v>#REF!</v>
      </c>
      <c r="GE23" t="e">
        <f>AND(#REF!,"AAAAADf3d7o=")</f>
        <v>#REF!</v>
      </c>
      <c r="GF23" t="e">
        <f>AND(#REF!,"AAAAADf3d7s=")</f>
        <v>#REF!</v>
      </c>
      <c r="GG23" t="e">
        <f>AND(#REF!,"AAAAADf3d7w=")</f>
        <v>#REF!</v>
      </c>
      <c r="GH23" t="e">
        <f>AND(#REF!,"AAAAADf3d70=")</f>
        <v>#REF!</v>
      </c>
      <c r="GI23" t="e">
        <f>AND(#REF!,"AAAAADf3d74=")</f>
        <v>#REF!</v>
      </c>
      <c r="GJ23" t="e">
        <f>AND(#REF!,"AAAAADf3d78=")</f>
        <v>#REF!</v>
      </c>
      <c r="GK23" t="e">
        <f>AND(#REF!,"AAAAADf3d8A=")</f>
        <v>#REF!</v>
      </c>
      <c r="GL23" t="e">
        <f>AND(#REF!,"AAAAADf3d8E=")</f>
        <v>#REF!</v>
      </c>
      <c r="GM23" t="e">
        <f>AND(#REF!,"AAAAADf3d8I=")</f>
        <v>#REF!</v>
      </c>
      <c r="GN23" t="e">
        <f>AND(#REF!,"AAAAADf3d8M=")</f>
        <v>#REF!</v>
      </c>
      <c r="GO23" t="e">
        <f>AND(#REF!,"AAAAADf3d8Q=")</f>
        <v>#REF!</v>
      </c>
      <c r="GP23" t="e">
        <f>IF(#REF!,"AAAAADf3d8U=",0)</f>
        <v>#REF!</v>
      </c>
      <c r="GQ23" t="e">
        <f>AND(#REF!,"AAAAADf3d8Y=")</f>
        <v>#REF!</v>
      </c>
      <c r="GR23" t="e">
        <f>AND(#REF!,"AAAAADf3d8c=")</f>
        <v>#REF!</v>
      </c>
      <c r="GS23" t="e">
        <f>AND(#REF!,"AAAAADf3d8g=")</f>
        <v>#REF!</v>
      </c>
      <c r="GT23" t="e">
        <f>AND(#REF!,"AAAAADf3d8k=")</f>
        <v>#REF!</v>
      </c>
      <c r="GU23" t="e">
        <f>AND(#REF!,"AAAAADf3d8o=")</f>
        <v>#REF!</v>
      </c>
      <c r="GV23" t="e">
        <f>AND(#REF!,"AAAAADf3d8s=")</f>
        <v>#REF!</v>
      </c>
      <c r="GW23" t="e">
        <f>AND(#REF!,"AAAAADf3d8w=")</f>
        <v>#REF!</v>
      </c>
      <c r="GX23" t="e">
        <f>AND(#REF!,"AAAAADf3d80=")</f>
        <v>#REF!</v>
      </c>
      <c r="GY23" t="e">
        <f>AND(#REF!,"AAAAADf3d84=")</f>
        <v>#REF!</v>
      </c>
      <c r="GZ23" t="e">
        <f>AND(#REF!,"AAAAADf3d88=")</f>
        <v>#REF!</v>
      </c>
      <c r="HA23" t="e">
        <f>AND(#REF!,"AAAAADf3d9A=")</f>
        <v>#REF!</v>
      </c>
      <c r="HB23" t="e">
        <f>AND(#REF!,"AAAAADf3d9E=")</f>
        <v>#REF!</v>
      </c>
      <c r="HC23" t="e">
        <f>AND(#REF!,"AAAAADf3d9I=")</f>
        <v>#REF!</v>
      </c>
      <c r="HD23" t="e">
        <f>AND(#REF!,"AAAAADf3d9M=")</f>
        <v>#REF!</v>
      </c>
      <c r="HE23" t="e">
        <f>AND(#REF!,"AAAAADf3d9Q=")</f>
        <v>#REF!</v>
      </c>
      <c r="HF23" t="e">
        <f>AND(#REF!,"AAAAADf3d9U=")</f>
        <v>#REF!</v>
      </c>
      <c r="HG23" t="e">
        <f>AND(#REF!,"AAAAADf3d9Y=")</f>
        <v>#REF!</v>
      </c>
      <c r="HH23" t="e">
        <f>AND(#REF!,"AAAAADf3d9c=")</f>
        <v>#REF!</v>
      </c>
      <c r="HI23" t="e">
        <f>IF(#REF!,"AAAAADf3d9g=",0)</f>
        <v>#REF!</v>
      </c>
      <c r="HJ23" t="e">
        <f>AND(#REF!,"AAAAADf3d9k=")</f>
        <v>#REF!</v>
      </c>
      <c r="HK23" t="e">
        <f>AND(#REF!,"AAAAADf3d9o=")</f>
        <v>#REF!</v>
      </c>
      <c r="HL23" t="e">
        <f>AND(#REF!,"AAAAADf3d9s=")</f>
        <v>#REF!</v>
      </c>
      <c r="HM23" t="e">
        <f>AND(#REF!,"AAAAADf3d9w=")</f>
        <v>#REF!</v>
      </c>
      <c r="HN23" t="e">
        <f>AND(#REF!,"AAAAADf3d90=")</f>
        <v>#REF!</v>
      </c>
      <c r="HO23" t="e">
        <f>AND(#REF!,"AAAAADf3d94=")</f>
        <v>#REF!</v>
      </c>
      <c r="HP23" t="e">
        <f>AND(#REF!,"AAAAADf3d98=")</f>
        <v>#REF!</v>
      </c>
      <c r="HQ23" t="e">
        <f>AND(#REF!,"AAAAADf3d+A=")</f>
        <v>#REF!</v>
      </c>
      <c r="HR23" t="e">
        <f>AND(#REF!,"AAAAADf3d+E=")</f>
        <v>#REF!</v>
      </c>
      <c r="HS23" t="e">
        <f>AND(#REF!,"AAAAADf3d+I=")</f>
        <v>#REF!</v>
      </c>
      <c r="HT23" t="e">
        <f>AND(#REF!,"AAAAADf3d+M=")</f>
        <v>#REF!</v>
      </c>
      <c r="HU23" t="e">
        <f>AND(#REF!,"AAAAADf3d+Q=")</f>
        <v>#REF!</v>
      </c>
      <c r="HV23" t="e">
        <f>AND(#REF!,"AAAAADf3d+U=")</f>
        <v>#REF!</v>
      </c>
      <c r="HW23" t="e">
        <f>AND(#REF!,"AAAAADf3d+Y=")</f>
        <v>#REF!</v>
      </c>
      <c r="HX23" t="e">
        <f>AND(#REF!,"AAAAADf3d+c=")</f>
        <v>#REF!</v>
      </c>
      <c r="HY23" t="e">
        <f>AND(#REF!,"AAAAADf3d+g=")</f>
        <v>#REF!</v>
      </c>
      <c r="HZ23" t="e">
        <f>AND(#REF!,"AAAAADf3d+k=")</f>
        <v>#REF!</v>
      </c>
      <c r="IA23" t="e">
        <f>AND(#REF!,"AAAAADf3d+o=")</f>
        <v>#REF!</v>
      </c>
      <c r="IB23" t="e">
        <f>IF(#REF!,"AAAAADf3d+s=",0)</f>
        <v>#REF!</v>
      </c>
      <c r="IC23" t="e">
        <f>AND(#REF!,"AAAAADf3d+w=")</f>
        <v>#REF!</v>
      </c>
      <c r="ID23" t="e">
        <f>AND(#REF!,"AAAAADf3d+0=")</f>
        <v>#REF!</v>
      </c>
      <c r="IE23" t="e">
        <f>AND(#REF!,"AAAAADf3d+4=")</f>
        <v>#REF!</v>
      </c>
      <c r="IF23" t="e">
        <f>AND(#REF!,"AAAAADf3d+8=")</f>
        <v>#REF!</v>
      </c>
      <c r="IG23" t="e">
        <f>AND(#REF!,"AAAAADf3d/A=")</f>
        <v>#REF!</v>
      </c>
      <c r="IH23" t="e">
        <f>AND(#REF!,"AAAAADf3d/E=")</f>
        <v>#REF!</v>
      </c>
      <c r="II23" t="e">
        <f>AND(#REF!,"AAAAADf3d/I=")</f>
        <v>#REF!</v>
      </c>
      <c r="IJ23" t="e">
        <f>AND(#REF!,"AAAAADf3d/M=")</f>
        <v>#REF!</v>
      </c>
      <c r="IK23" t="e">
        <f>AND(#REF!,"AAAAADf3d/Q=")</f>
        <v>#REF!</v>
      </c>
      <c r="IL23" t="e">
        <f>AND(#REF!,"AAAAADf3d/U=")</f>
        <v>#REF!</v>
      </c>
      <c r="IM23" t="e">
        <f>AND(#REF!,"AAAAADf3d/Y=")</f>
        <v>#REF!</v>
      </c>
      <c r="IN23" t="e">
        <f>AND(#REF!,"AAAAADf3d/c=")</f>
        <v>#REF!</v>
      </c>
      <c r="IO23" t="e">
        <f>AND(#REF!,"AAAAADf3d/g=")</f>
        <v>#REF!</v>
      </c>
      <c r="IP23" t="e">
        <f>AND(#REF!,"AAAAADf3d/k=")</f>
        <v>#REF!</v>
      </c>
      <c r="IQ23" t="e">
        <f>AND(#REF!,"AAAAADf3d/o=")</f>
        <v>#REF!</v>
      </c>
      <c r="IR23" t="e">
        <f>AND(#REF!,"AAAAADf3d/s=")</f>
        <v>#REF!</v>
      </c>
      <c r="IS23" t="e">
        <f>AND(#REF!,"AAAAADf3d/w=")</f>
        <v>#REF!</v>
      </c>
      <c r="IT23" t="e">
        <f>AND(#REF!,"AAAAADf3d/0=")</f>
        <v>#REF!</v>
      </c>
      <c r="IU23" t="e">
        <f>IF(#REF!,"AAAAADf3d/4=",0)</f>
        <v>#REF!</v>
      </c>
      <c r="IV23" t="e">
        <f>AND(#REF!,"AAAAADf3d/8=")</f>
        <v>#REF!</v>
      </c>
    </row>
    <row r="24" spans="1:256" x14ac:dyDescent="0.15">
      <c r="A24" t="e">
        <f>AND(#REF!,"AAAAAFf4/AA=")</f>
        <v>#REF!</v>
      </c>
      <c r="B24" t="e">
        <f>AND(#REF!,"AAAAAFf4/AE=")</f>
        <v>#REF!</v>
      </c>
      <c r="C24" t="e">
        <f>AND(#REF!,"AAAAAFf4/AI=")</f>
        <v>#REF!</v>
      </c>
      <c r="D24" t="e">
        <f>AND(#REF!,"AAAAAFf4/AM=")</f>
        <v>#REF!</v>
      </c>
      <c r="E24" t="e">
        <f>AND(#REF!,"AAAAAFf4/AQ=")</f>
        <v>#REF!</v>
      </c>
      <c r="F24" t="e">
        <f>AND(#REF!,"AAAAAFf4/AU=")</f>
        <v>#REF!</v>
      </c>
      <c r="G24" t="e">
        <f>AND(#REF!,"AAAAAFf4/AY=")</f>
        <v>#REF!</v>
      </c>
      <c r="H24" t="e">
        <f>AND(#REF!,"AAAAAFf4/Ac=")</f>
        <v>#REF!</v>
      </c>
      <c r="I24" t="e">
        <f>AND(#REF!,"AAAAAFf4/Ag=")</f>
        <v>#REF!</v>
      </c>
      <c r="J24" t="e">
        <f>AND(#REF!,"AAAAAFf4/Ak=")</f>
        <v>#REF!</v>
      </c>
      <c r="K24" t="e">
        <f>AND(#REF!,"AAAAAFf4/Ao=")</f>
        <v>#REF!</v>
      </c>
      <c r="L24" t="e">
        <f>AND(#REF!,"AAAAAFf4/As=")</f>
        <v>#REF!</v>
      </c>
      <c r="M24" t="e">
        <f>AND(#REF!,"AAAAAFf4/Aw=")</f>
        <v>#REF!</v>
      </c>
      <c r="N24" t="e">
        <f>AND(#REF!,"AAAAAFf4/A0=")</f>
        <v>#REF!</v>
      </c>
      <c r="O24" t="e">
        <f>AND(#REF!,"AAAAAFf4/A4=")</f>
        <v>#REF!</v>
      </c>
      <c r="P24" t="e">
        <f>AND(#REF!,"AAAAAFf4/A8=")</f>
        <v>#REF!</v>
      </c>
      <c r="Q24" t="e">
        <f>AND(#REF!,"AAAAAFf4/BA=")</f>
        <v>#REF!</v>
      </c>
      <c r="R24" t="e">
        <f>IF(#REF!,"AAAAAFf4/BE=",0)</f>
        <v>#REF!</v>
      </c>
      <c r="S24" t="e">
        <f>AND(#REF!,"AAAAAFf4/BI=")</f>
        <v>#REF!</v>
      </c>
      <c r="T24" t="e">
        <f>AND(#REF!,"AAAAAFf4/BM=")</f>
        <v>#REF!</v>
      </c>
      <c r="U24" t="e">
        <f>AND(#REF!,"AAAAAFf4/BQ=")</f>
        <v>#REF!</v>
      </c>
      <c r="V24" t="e">
        <f>AND(#REF!,"AAAAAFf4/BU=")</f>
        <v>#REF!</v>
      </c>
      <c r="W24" t="e">
        <f>AND(#REF!,"AAAAAFf4/BY=")</f>
        <v>#REF!</v>
      </c>
      <c r="X24" t="e">
        <f>AND(#REF!,"AAAAAFf4/Bc=")</f>
        <v>#REF!</v>
      </c>
      <c r="Y24" t="e">
        <f>AND(#REF!,"AAAAAFf4/Bg=")</f>
        <v>#REF!</v>
      </c>
      <c r="Z24" t="e">
        <f>AND(#REF!,"AAAAAFf4/Bk=")</f>
        <v>#REF!</v>
      </c>
      <c r="AA24" t="e">
        <f>AND(#REF!,"AAAAAFf4/Bo=")</f>
        <v>#REF!</v>
      </c>
      <c r="AB24" t="e">
        <f>AND(#REF!,"AAAAAFf4/Bs=")</f>
        <v>#REF!</v>
      </c>
      <c r="AC24" t="e">
        <f>AND(#REF!,"AAAAAFf4/Bw=")</f>
        <v>#REF!</v>
      </c>
      <c r="AD24" t="e">
        <f>AND(#REF!,"AAAAAFf4/B0=")</f>
        <v>#REF!</v>
      </c>
      <c r="AE24" t="e">
        <f>AND(#REF!,"AAAAAFf4/B4=")</f>
        <v>#REF!</v>
      </c>
      <c r="AF24" t="e">
        <f>AND(#REF!,"AAAAAFf4/B8=")</f>
        <v>#REF!</v>
      </c>
      <c r="AG24" t="e">
        <f>AND(#REF!,"AAAAAFf4/CA=")</f>
        <v>#REF!</v>
      </c>
      <c r="AH24" t="e">
        <f>AND(#REF!,"AAAAAFf4/CE=")</f>
        <v>#REF!</v>
      </c>
      <c r="AI24" t="e">
        <f>AND(#REF!,"AAAAAFf4/CI=")</f>
        <v>#REF!</v>
      </c>
      <c r="AJ24" t="e">
        <f>AND(#REF!,"AAAAAFf4/CM=")</f>
        <v>#REF!</v>
      </c>
      <c r="AK24" t="e">
        <f>IF(#REF!,"AAAAAFf4/CQ=",0)</f>
        <v>#REF!</v>
      </c>
      <c r="AL24" t="e">
        <f>AND(#REF!,"AAAAAFf4/CU=")</f>
        <v>#REF!</v>
      </c>
      <c r="AM24" t="e">
        <f>AND(#REF!,"AAAAAFf4/CY=")</f>
        <v>#REF!</v>
      </c>
      <c r="AN24" t="e">
        <f>AND(#REF!,"AAAAAFf4/Cc=")</f>
        <v>#REF!</v>
      </c>
      <c r="AO24" t="e">
        <f>AND(#REF!,"AAAAAFf4/Cg=")</f>
        <v>#REF!</v>
      </c>
      <c r="AP24" t="e">
        <f>AND(#REF!,"AAAAAFf4/Ck=")</f>
        <v>#REF!</v>
      </c>
      <c r="AQ24" t="e">
        <f>AND(#REF!,"AAAAAFf4/Co=")</f>
        <v>#REF!</v>
      </c>
      <c r="AR24" t="e">
        <f>AND(#REF!,"AAAAAFf4/Cs=")</f>
        <v>#REF!</v>
      </c>
      <c r="AS24" t="e">
        <f>AND(#REF!,"AAAAAFf4/Cw=")</f>
        <v>#REF!</v>
      </c>
      <c r="AT24" t="e">
        <f>AND(#REF!,"AAAAAFf4/C0=")</f>
        <v>#REF!</v>
      </c>
      <c r="AU24" t="e">
        <f>AND(#REF!,"AAAAAFf4/C4=")</f>
        <v>#REF!</v>
      </c>
      <c r="AV24" t="e">
        <f>AND(#REF!,"AAAAAFf4/C8=")</f>
        <v>#REF!</v>
      </c>
      <c r="AW24" t="e">
        <f>AND(#REF!,"AAAAAFf4/DA=")</f>
        <v>#REF!</v>
      </c>
      <c r="AX24" t="e">
        <f>AND(#REF!,"AAAAAFf4/DE=")</f>
        <v>#REF!</v>
      </c>
      <c r="AY24" t="e">
        <f>AND(#REF!,"AAAAAFf4/DI=")</f>
        <v>#REF!</v>
      </c>
      <c r="AZ24" t="e">
        <f>AND(#REF!,"AAAAAFf4/DM=")</f>
        <v>#REF!</v>
      </c>
      <c r="BA24" t="e">
        <f>AND(#REF!,"AAAAAFf4/DQ=")</f>
        <v>#REF!</v>
      </c>
      <c r="BB24" t="e">
        <f>AND(#REF!,"AAAAAFf4/DU=")</f>
        <v>#REF!</v>
      </c>
      <c r="BC24" t="e">
        <f>AND(#REF!,"AAAAAFf4/DY=")</f>
        <v>#REF!</v>
      </c>
      <c r="BD24" t="e">
        <f>IF(#REF!,"AAAAAFf4/Dc=",0)</f>
        <v>#REF!</v>
      </c>
      <c r="BE24" t="e">
        <f>AND(#REF!,"AAAAAFf4/Dg=")</f>
        <v>#REF!</v>
      </c>
      <c r="BF24" t="e">
        <f>AND(#REF!,"AAAAAFf4/Dk=")</f>
        <v>#REF!</v>
      </c>
      <c r="BG24" t="e">
        <f>AND(#REF!,"AAAAAFf4/Do=")</f>
        <v>#REF!</v>
      </c>
      <c r="BH24" t="e">
        <f>AND(#REF!,"AAAAAFf4/Ds=")</f>
        <v>#REF!</v>
      </c>
      <c r="BI24" t="e">
        <f>AND(#REF!,"AAAAAFf4/Dw=")</f>
        <v>#REF!</v>
      </c>
      <c r="BJ24" t="e">
        <f>AND(#REF!,"AAAAAFf4/D0=")</f>
        <v>#REF!</v>
      </c>
      <c r="BK24" t="e">
        <f>AND(#REF!,"AAAAAFf4/D4=")</f>
        <v>#REF!</v>
      </c>
      <c r="BL24" t="e">
        <f>AND(#REF!,"AAAAAFf4/D8=")</f>
        <v>#REF!</v>
      </c>
      <c r="BM24" t="e">
        <f>AND(#REF!,"AAAAAFf4/EA=")</f>
        <v>#REF!</v>
      </c>
      <c r="BN24" t="e">
        <f>AND(#REF!,"AAAAAFf4/EE=")</f>
        <v>#REF!</v>
      </c>
      <c r="BO24" t="e">
        <f>AND(#REF!,"AAAAAFf4/EI=")</f>
        <v>#REF!</v>
      </c>
      <c r="BP24" t="e">
        <f>AND(#REF!,"AAAAAFf4/EM=")</f>
        <v>#REF!</v>
      </c>
      <c r="BQ24" t="e">
        <f>AND(#REF!,"AAAAAFf4/EQ=")</f>
        <v>#REF!</v>
      </c>
      <c r="BR24" t="e">
        <f>AND(#REF!,"AAAAAFf4/EU=")</f>
        <v>#REF!</v>
      </c>
      <c r="BS24" t="e">
        <f>AND(#REF!,"AAAAAFf4/EY=")</f>
        <v>#REF!</v>
      </c>
      <c r="BT24" t="e">
        <f>AND(#REF!,"AAAAAFf4/Ec=")</f>
        <v>#REF!</v>
      </c>
      <c r="BU24" t="e">
        <f>AND(#REF!,"AAAAAFf4/Eg=")</f>
        <v>#REF!</v>
      </c>
      <c r="BV24" t="e">
        <f>AND(#REF!,"AAAAAFf4/Ek=")</f>
        <v>#REF!</v>
      </c>
      <c r="BW24" t="e">
        <f>IF(#REF!,"AAAAAFf4/Eo=",0)</f>
        <v>#REF!</v>
      </c>
      <c r="BX24" t="e">
        <f>AND(#REF!,"AAAAAFf4/Es=")</f>
        <v>#REF!</v>
      </c>
      <c r="BY24" t="e">
        <f>AND(#REF!,"AAAAAFf4/Ew=")</f>
        <v>#REF!</v>
      </c>
      <c r="BZ24" t="e">
        <f>AND(#REF!,"AAAAAFf4/E0=")</f>
        <v>#REF!</v>
      </c>
      <c r="CA24" t="e">
        <f>AND(#REF!,"AAAAAFf4/E4=")</f>
        <v>#REF!</v>
      </c>
      <c r="CB24" t="e">
        <f>AND(#REF!,"AAAAAFf4/E8=")</f>
        <v>#REF!</v>
      </c>
      <c r="CC24" t="e">
        <f>AND(#REF!,"AAAAAFf4/FA=")</f>
        <v>#REF!</v>
      </c>
      <c r="CD24" t="e">
        <f>AND(#REF!,"AAAAAFf4/FE=")</f>
        <v>#REF!</v>
      </c>
      <c r="CE24" t="e">
        <f>AND(#REF!,"AAAAAFf4/FI=")</f>
        <v>#REF!</v>
      </c>
      <c r="CF24" t="e">
        <f>AND(#REF!,"AAAAAFf4/FM=")</f>
        <v>#REF!</v>
      </c>
      <c r="CG24" t="e">
        <f>AND(#REF!,"AAAAAFf4/FQ=")</f>
        <v>#REF!</v>
      </c>
      <c r="CH24" t="e">
        <f>AND(#REF!,"AAAAAFf4/FU=")</f>
        <v>#REF!</v>
      </c>
      <c r="CI24" t="e">
        <f>AND(#REF!,"AAAAAFf4/FY=")</f>
        <v>#REF!</v>
      </c>
      <c r="CJ24" t="e">
        <f>AND(#REF!,"AAAAAFf4/Fc=")</f>
        <v>#REF!</v>
      </c>
      <c r="CK24" t="e">
        <f>AND(#REF!,"AAAAAFf4/Fg=")</f>
        <v>#REF!</v>
      </c>
      <c r="CL24" t="e">
        <f>AND(#REF!,"AAAAAFf4/Fk=")</f>
        <v>#REF!</v>
      </c>
      <c r="CM24" t="e">
        <f>AND(#REF!,"AAAAAFf4/Fo=")</f>
        <v>#REF!</v>
      </c>
      <c r="CN24" t="e">
        <f>AND(#REF!,"AAAAAFf4/Fs=")</f>
        <v>#REF!</v>
      </c>
      <c r="CO24" t="e">
        <f>AND(#REF!,"AAAAAFf4/Fw=")</f>
        <v>#REF!</v>
      </c>
      <c r="CP24" t="e">
        <f>IF(#REF!,"AAAAAFf4/F0=",0)</f>
        <v>#REF!</v>
      </c>
      <c r="CQ24" t="e">
        <f>AND(#REF!,"AAAAAFf4/F4=")</f>
        <v>#REF!</v>
      </c>
      <c r="CR24" t="e">
        <f>AND(#REF!,"AAAAAFf4/F8=")</f>
        <v>#REF!</v>
      </c>
      <c r="CS24" t="e">
        <f>AND(#REF!,"AAAAAFf4/GA=")</f>
        <v>#REF!</v>
      </c>
      <c r="CT24" t="e">
        <f>AND(#REF!,"AAAAAFf4/GE=")</f>
        <v>#REF!</v>
      </c>
      <c r="CU24" t="e">
        <f>AND(#REF!,"AAAAAFf4/GI=")</f>
        <v>#REF!</v>
      </c>
      <c r="CV24" t="e">
        <f>AND(#REF!,"AAAAAFf4/GM=")</f>
        <v>#REF!</v>
      </c>
      <c r="CW24" t="e">
        <f>AND(#REF!,"AAAAAFf4/GQ=")</f>
        <v>#REF!</v>
      </c>
      <c r="CX24" t="e">
        <f>AND(#REF!,"AAAAAFf4/GU=")</f>
        <v>#REF!</v>
      </c>
      <c r="CY24" t="e">
        <f>AND(#REF!,"AAAAAFf4/GY=")</f>
        <v>#REF!</v>
      </c>
      <c r="CZ24" t="e">
        <f>AND(#REF!,"AAAAAFf4/Gc=")</f>
        <v>#REF!</v>
      </c>
      <c r="DA24" t="e">
        <f>AND(#REF!,"AAAAAFf4/Gg=")</f>
        <v>#REF!</v>
      </c>
      <c r="DB24" t="e">
        <f>AND(#REF!,"AAAAAFf4/Gk=")</f>
        <v>#REF!</v>
      </c>
      <c r="DC24" t="e">
        <f>AND(#REF!,"AAAAAFf4/Go=")</f>
        <v>#REF!</v>
      </c>
      <c r="DD24" t="e">
        <f>AND(#REF!,"AAAAAFf4/Gs=")</f>
        <v>#REF!</v>
      </c>
      <c r="DE24" t="e">
        <f>AND(#REF!,"AAAAAFf4/Gw=")</f>
        <v>#REF!</v>
      </c>
      <c r="DF24" t="e">
        <f>AND(#REF!,"AAAAAFf4/G0=")</f>
        <v>#REF!</v>
      </c>
      <c r="DG24" t="e">
        <f>AND(#REF!,"AAAAAFf4/G4=")</f>
        <v>#REF!</v>
      </c>
      <c r="DH24" t="e">
        <f>AND(#REF!,"AAAAAFf4/G8=")</f>
        <v>#REF!</v>
      </c>
      <c r="DI24" t="e">
        <f>IF(#REF!,"AAAAAFf4/HA=",0)</f>
        <v>#REF!</v>
      </c>
      <c r="DJ24" t="e">
        <f>AND(#REF!,"AAAAAFf4/HE=")</f>
        <v>#REF!</v>
      </c>
      <c r="DK24" t="e">
        <f>AND(#REF!,"AAAAAFf4/HI=")</f>
        <v>#REF!</v>
      </c>
      <c r="DL24" t="e">
        <f>AND(#REF!,"AAAAAFf4/HM=")</f>
        <v>#REF!</v>
      </c>
      <c r="DM24" t="e">
        <f>AND(#REF!,"AAAAAFf4/HQ=")</f>
        <v>#REF!</v>
      </c>
      <c r="DN24" t="e">
        <f>AND(#REF!,"AAAAAFf4/HU=")</f>
        <v>#REF!</v>
      </c>
      <c r="DO24" t="e">
        <f>AND(#REF!,"AAAAAFf4/HY=")</f>
        <v>#REF!</v>
      </c>
      <c r="DP24" t="e">
        <f>AND(#REF!,"AAAAAFf4/Hc=")</f>
        <v>#REF!</v>
      </c>
      <c r="DQ24" t="e">
        <f>AND(#REF!,"AAAAAFf4/Hg=")</f>
        <v>#REF!</v>
      </c>
      <c r="DR24" t="e">
        <f>AND(#REF!,"AAAAAFf4/Hk=")</f>
        <v>#REF!</v>
      </c>
      <c r="DS24" t="e">
        <f>AND(#REF!,"AAAAAFf4/Ho=")</f>
        <v>#REF!</v>
      </c>
      <c r="DT24" t="e">
        <f>AND(#REF!,"AAAAAFf4/Hs=")</f>
        <v>#REF!</v>
      </c>
      <c r="DU24" t="e">
        <f>AND(#REF!,"AAAAAFf4/Hw=")</f>
        <v>#REF!</v>
      </c>
      <c r="DV24" t="e">
        <f>AND(#REF!,"AAAAAFf4/H0=")</f>
        <v>#REF!</v>
      </c>
      <c r="DW24" t="e">
        <f>AND(#REF!,"AAAAAFf4/H4=")</f>
        <v>#REF!</v>
      </c>
      <c r="DX24" t="e">
        <f>AND(#REF!,"AAAAAFf4/H8=")</f>
        <v>#REF!</v>
      </c>
      <c r="DY24" t="e">
        <f>AND(#REF!,"AAAAAFf4/IA=")</f>
        <v>#REF!</v>
      </c>
      <c r="DZ24" t="e">
        <f>AND(#REF!,"AAAAAFf4/IE=")</f>
        <v>#REF!</v>
      </c>
      <c r="EA24" t="e">
        <f>AND(#REF!,"AAAAAFf4/II=")</f>
        <v>#REF!</v>
      </c>
      <c r="EB24" t="e">
        <f>IF(#REF!,"AAAAAFf4/IM=",0)</f>
        <v>#REF!</v>
      </c>
      <c r="EC24" t="e">
        <f>AND(#REF!,"AAAAAFf4/IQ=")</f>
        <v>#REF!</v>
      </c>
      <c r="ED24" t="e">
        <f>AND(#REF!,"AAAAAFf4/IU=")</f>
        <v>#REF!</v>
      </c>
      <c r="EE24" t="e">
        <f>AND(#REF!,"AAAAAFf4/IY=")</f>
        <v>#REF!</v>
      </c>
      <c r="EF24" t="e">
        <f>AND(#REF!,"AAAAAFf4/Ic=")</f>
        <v>#REF!</v>
      </c>
      <c r="EG24" t="e">
        <f>AND(#REF!,"AAAAAFf4/Ig=")</f>
        <v>#REF!</v>
      </c>
      <c r="EH24" t="e">
        <f>AND(#REF!,"AAAAAFf4/Ik=")</f>
        <v>#REF!</v>
      </c>
      <c r="EI24" t="e">
        <f>AND(#REF!,"AAAAAFf4/Io=")</f>
        <v>#REF!</v>
      </c>
      <c r="EJ24" t="e">
        <f>AND(#REF!,"AAAAAFf4/Is=")</f>
        <v>#REF!</v>
      </c>
      <c r="EK24" t="e">
        <f>AND(#REF!,"AAAAAFf4/Iw=")</f>
        <v>#REF!</v>
      </c>
      <c r="EL24" t="e">
        <f>AND(#REF!,"AAAAAFf4/I0=")</f>
        <v>#REF!</v>
      </c>
      <c r="EM24" t="e">
        <f>AND(#REF!,"AAAAAFf4/I4=")</f>
        <v>#REF!</v>
      </c>
      <c r="EN24" t="e">
        <f>AND(#REF!,"AAAAAFf4/I8=")</f>
        <v>#REF!</v>
      </c>
      <c r="EO24" t="e">
        <f>AND(#REF!,"AAAAAFf4/JA=")</f>
        <v>#REF!</v>
      </c>
      <c r="EP24" t="e">
        <f>AND(#REF!,"AAAAAFf4/JE=")</f>
        <v>#REF!</v>
      </c>
      <c r="EQ24" t="e">
        <f>AND(#REF!,"AAAAAFf4/JI=")</f>
        <v>#REF!</v>
      </c>
      <c r="ER24" t="e">
        <f>AND(#REF!,"AAAAAFf4/JM=")</f>
        <v>#REF!</v>
      </c>
      <c r="ES24" t="e">
        <f>AND(#REF!,"AAAAAFf4/JQ=")</f>
        <v>#REF!</v>
      </c>
      <c r="ET24" t="e">
        <f>AND(#REF!,"AAAAAFf4/JU=")</f>
        <v>#REF!</v>
      </c>
      <c r="EU24" t="e">
        <f>IF(#REF!,"AAAAAFf4/JY=",0)</f>
        <v>#REF!</v>
      </c>
      <c r="EV24" t="e">
        <f>AND(#REF!,"AAAAAFf4/Jc=")</f>
        <v>#REF!</v>
      </c>
      <c r="EW24" t="e">
        <f>AND(#REF!,"AAAAAFf4/Jg=")</f>
        <v>#REF!</v>
      </c>
      <c r="EX24" t="e">
        <f>AND(#REF!,"AAAAAFf4/Jk=")</f>
        <v>#REF!</v>
      </c>
      <c r="EY24" t="e">
        <f>AND(#REF!,"AAAAAFf4/Jo=")</f>
        <v>#REF!</v>
      </c>
      <c r="EZ24" t="e">
        <f>AND(#REF!,"AAAAAFf4/Js=")</f>
        <v>#REF!</v>
      </c>
      <c r="FA24" t="e">
        <f>AND(#REF!,"AAAAAFf4/Jw=")</f>
        <v>#REF!</v>
      </c>
      <c r="FB24" t="e">
        <f>AND(#REF!,"AAAAAFf4/J0=")</f>
        <v>#REF!</v>
      </c>
      <c r="FC24" t="e">
        <f>AND(#REF!,"AAAAAFf4/J4=")</f>
        <v>#REF!</v>
      </c>
      <c r="FD24" t="e">
        <f>AND(#REF!,"AAAAAFf4/J8=")</f>
        <v>#REF!</v>
      </c>
      <c r="FE24" t="e">
        <f>AND(#REF!,"AAAAAFf4/KA=")</f>
        <v>#REF!</v>
      </c>
      <c r="FF24" t="e">
        <f>AND(#REF!,"AAAAAFf4/KE=")</f>
        <v>#REF!</v>
      </c>
      <c r="FG24" t="e">
        <f>AND(#REF!,"AAAAAFf4/KI=")</f>
        <v>#REF!</v>
      </c>
      <c r="FH24" t="e">
        <f>AND(#REF!,"AAAAAFf4/KM=")</f>
        <v>#REF!</v>
      </c>
      <c r="FI24" t="e">
        <f>AND(#REF!,"AAAAAFf4/KQ=")</f>
        <v>#REF!</v>
      </c>
      <c r="FJ24" t="e">
        <f>AND(#REF!,"AAAAAFf4/KU=")</f>
        <v>#REF!</v>
      </c>
      <c r="FK24" t="e">
        <f>AND(#REF!,"AAAAAFf4/KY=")</f>
        <v>#REF!</v>
      </c>
      <c r="FL24" t="e">
        <f>AND(#REF!,"AAAAAFf4/Kc=")</f>
        <v>#REF!</v>
      </c>
      <c r="FM24" t="e">
        <f>AND(#REF!,"AAAAAFf4/Kg=")</f>
        <v>#REF!</v>
      </c>
      <c r="FN24" t="e">
        <f>IF(#REF!,"AAAAAFf4/Kk=",0)</f>
        <v>#REF!</v>
      </c>
      <c r="FO24" t="e">
        <f>AND(#REF!,"AAAAAFf4/Ko=")</f>
        <v>#REF!</v>
      </c>
      <c r="FP24" t="e">
        <f>AND(#REF!,"AAAAAFf4/Ks=")</f>
        <v>#REF!</v>
      </c>
      <c r="FQ24" t="e">
        <f>AND(#REF!,"AAAAAFf4/Kw=")</f>
        <v>#REF!</v>
      </c>
      <c r="FR24" t="e">
        <f>AND(#REF!,"AAAAAFf4/K0=")</f>
        <v>#REF!</v>
      </c>
      <c r="FS24" t="e">
        <f>AND(#REF!,"AAAAAFf4/K4=")</f>
        <v>#REF!</v>
      </c>
      <c r="FT24" t="e">
        <f>AND(#REF!,"AAAAAFf4/K8=")</f>
        <v>#REF!</v>
      </c>
      <c r="FU24" t="e">
        <f>AND(#REF!,"AAAAAFf4/LA=")</f>
        <v>#REF!</v>
      </c>
      <c r="FV24" t="e">
        <f>AND(#REF!,"AAAAAFf4/LE=")</f>
        <v>#REF!</v>
      </c>
      <c r="FW24" t="e">
        <f>AND(#REF!,"AAAAAFf4/LI=")</f>
        <v>#REF!</v>
      </c>
      <c r="FX24" t="e">
        <f>AND(#REF!,"AAAAAFf4/LM=")</f>
        <v>#REF!</v>
      </c>
      <c r="FY24" t="e">
        <f>AND(#REF!,"AAAAAFf4/LQ=")</f>
        <v>#REF!</v>
      </c>
      <c r="FZ24" t="e">
        <f>AND(#REF!,"AAAAAFf4/LU=")</f>
        <v>#REF!</v>
      </c>
      <c r="GA24" t="e">
        <f>AND(#REF!,"AAAAAFf4/LY=")</f>
        <v>#REF!</v>
      </c>
      <c r="GB24" t="e">
        <f>AND(#REF!,"AAAAAFf4/Lc=")</f>
        <v>#REF!</v>
      </c>
      <c r="GC24" t="e">
        <f>AND(#REF!,"AAAAAFf4/Lg=")</f>
        <v>#REF!</v>
      </c>
      <c r="GD24" t="e">
        <f>AND(#REF!,"AAAAAFf4/Lk=")</f>
        <v>#REF!</v>
      </c>
      <c r="GE24" t="e">
        <f>AND(#REF!,"AAAAAFf4/Lo=")</f>
        <v>#REF!</v>
      </c>
      <c r="GF24" t="e">
        <f>AND(#REF!,"AAAAAFf4/Ls=")</f>
        <v>#REF!</v>
      </c>
      <c r="GG24" t="e">
        <f>IF(#REF!,"AAAAAFf4/Lw=",0)</f>
        <v>#REF!</v>
      </c>
      <c r="GH24" t="e">
        <f>AND(#REF!,"AAAAAFf4/L0=")</f>
        <v>#REF!</v>
      </c>
      <c r="GI24" t="e">
        <f>AND(#REF!,"AAAAAFf4/L4=")</f>
        <v>#REF!</v>
      </c>
      <c r="GJ24" t="e">
        <f>AND(#REF!,"AAAAAFf4/L8=")</f>
        <v>#REF!</v>
      </c>
      <c r="GK24" t="e">
        <f>AND(#REF!,"AAAAAFf4/MA=")</f>
        <v>#REF!</v>
      </c>
      <c r="GL24" t="e">
        <f>AND(#REF!,"AAAAAFf4/ME=")</f>
        <v>#REF!</v>
      </c>
      <c r="GM24" t="e">
        <f>AND(#REF!,"AAAAAFf4/MI=")</f>
        <v>#REF!</v>
      </c>
      <c r="GN24" t="e">
        <f>AND(#REF!,"AAAAAFf4/MM=")</f>
        <v>#REF!</v>
      </c>
      <c r="GO24" t="e">
        <f>AND(#REF!,"AAAAAFf4/MQ=")</f>
        <v>#REF!</v>
      </c>
      <c r="GP24" t="e">
        <f>AND(#REF!,"AAAAAFf4/MU=")</f>
        <v>#REF!</v>
      </c>
      <c r="GQ24" t="e">
        <f>AND(#REF!,"AAAAAFf4/MY=")</f>
        <v>#REF!</v>
      </c>
      <c r="GR24" t="e">
        <f>AND(#REF!,"AAAAAFf4/Mc=")</f>
        <v>#REF!</v>
      </c>
      <c r="GS24" t="e">
        <f>AND(#REF!,"AAAAAFf4/Mg=")</f>
        <v>#REF!</v>
      </c>
      <c r="GT24" t="e">
        <f>AND(#REF!,"AAAAAFf4/Mk=")</f>
        <v>#REF!</v>
      </c>
      <c r="GU24" t="e">
        <f>AND(#REF!,"AAAAAFf4/Mo=")</f>
        <v>#REF!</v>
      </c>
      <c r="GV24" t="e">
        <f>AND(#REF!,"AAAAAFf4/Ms=")</f>
        <v>#REF!</v>
      </c>
      <c r="GW24" t="e">
        <f>AND(#REF!,"AAAAAFf4/Mw=")</f>
        <v>#REF!</v>
      </c>
      <c r="GX24" t="e">
        <f>AND(#REF!,"AAAAAFf4/M0=")</f>
        <v>#REF!</v>
      </c>
      <c r="GY24" t="e">
        <f>AND(#REF!,"AAAAAFf4/M4=")</f>
        <v>#REF!</v>
      </c>
      <c r="GZ24" t="e">
        <f>IF(#REF!,"AAAAAFf4/M8=",0)</f>
        <v>#REF!</v>
      </c>
      <c r="HA24" t="e">
        <f>AND(#REF!,"AAAAAFf4/NA=")</f>
        <v>#REF!</v>
      </c>
      <c r="HB24" t="e">
        <f>AND(#REF!,"AAAAAFf4/NE=")</f>
        <v>#REF!</v>
      </c>
      <c r="HC24" t="e">
        <f>AND(#REF!,"AAAAAFf4/NI=")</f>
        <v>#REF!</v>
      </c>
      <c r="HD24" t="e">
        <f>AND(#REF!,"AAAAAFf4/NM=")</f>
        <v>#REF!</v>
      </c>
      <c r="HE24" t="e">
        <f>AND(#REF!,"AAAAAFf4/NQ=")</f>
        <v>#REF!</v>
      </c>
      <c r="HF24" t="e">
        <f>AND(#REF!,"AAAAAFf4/NU=")</f>
        <v>#REF!</v>
      </c>
      <c r="HG24" t="e">
        <f>AND(#REF!,"AAAAAFf4/NY=")</f>
        <v>#REF!</v>
      </c>
      <c r="HH24" t="e">
        <f>AND(#REF!,"AAAAAFf4/Nc=")</f>
        <v>#REF!</v>
      </c>
      <c r="HI24" t="e">
        <f>AND(#REF!,"AAAAAFf4/Ng=")</f>
        <v>#REF!</v>
      </c>
      <c r="HJ24" t="e">
        <f>AND(#REF!,"AAAAAFf4/Nk=")</f>
        <v>#REF!</v>
      </c>
      <c r="HK24" t="e">
        <f>AND(#REF!,"AAAAAFf4/No=")</f>
        <v>#REF!</v>
      </c>
      <c r="HL24" t="e">
        <f>AND(#REF!,"AAAAAFf4/Ns=")</f>
        <v>#REF!</v>
      </c>
      <c r="HM24" t="e">
        <f>AND(#REF!,"AAAAAFf4/Nw=")</f>
        <v>#REF!</v>
      </c>
      <c r="HN24" t="e">
        <f>AND(#REF!,"AAAAAFf4/N0=")</f>
        <v>#REF!</v>
      </c>
      <c r="HO24" t="e">
        <f>AND(#REF!,"AAAAAFf4/N4=")</f>
        <v>#REF!</v>
      </c>
      <c r="HP24" t="e">
        <f>AND(#REF!,"AAAAAFf4/N8=")</f>
        <v>#REF!</v>
      </c>
      <c r="HQ24" t="e">
        <f>AND(#REF!,"AAAAAFf4/OA=")</f>
        <v>#REF!</v>
      </c>
      <c r="HR24" t="e">
        <f>AND(#REF!,"AAAAAFf4/OE=")</f>
        <v>#REF!</v>
      </c>
      <c r="HS24" t="e">
        <f>IF(#REF!,"AAAAAFf4/OI=",0)</f>
        <v>#REF!</v>
      </c>
      <c r="HT24" t="e">
        <f>AND(#REF!,"AAAAAFf4/OM=")</f>
        <v>#REF!</v>
      </c>
      <c r="HU24" t="e">
        <f>AND(#REF!,"AAAAAFf4/OQ=")</f>
        <v>#REF!</v>
      </c>
      <c r="HV24" t="e">
        <f>AND(#REF!,"AAAAAFf4/OU=")</f>
        <v>#REF!</v>
      </c>
      <c r="HW24" t="e">
        <f>AND(#REF!,"AAAAAFf4/OY=")</f>
        <v>#REF!</v>
      </c>
      <c r="HX24" t="e">
        <f>AND(#REF!,"AAAAAFf4/Oc=")</f>
        <v>#REF!</v>
      </c>
      <c r="HY24" t="e">
        <f>AND(#REF!,"AAAAAFf4/Og=")</f>
        <v>#REF!</v>
      </c>
      <c r="HZ24" t="e">
        <f>AND(#REF!,"AAAAAFf4/Ok=")</f>
        <v>#REF!</v>
      </c>
      <c r="IA24" t="e">
        <f>AND(#REF!,"AAAAAFf4/Oo=")</f>
        <v>#REF!</v>
      </c>
      <c r="IB24" t="e">
        <f>AND(#REF!,"AAAAAFf4/Os=")</f>
        <v>#REF!</v>
      </c>
      <c r="IC24" t="e">
        <f>AND(#REF!,"AAAAAFf4/Ow=")</f>
        <v>#REF!</v>
      </c>
      <c r="ID24" t="e">
        <f>AND(#REF!,"AAAAAFf4/O0=")</f>
        <v>#REF!</v>
      </c>
      <c r="IE24" t="e">
        <f>AND(#REF!,"AAAAAFf4/O4=")</f>
        <v>#REF!</v>
      </c>
      <c r="IF24" t="e">
        <f>AND(#REF!,"AAAAAFf4/O8=")</f>
        <v>#REF!</v>
      </c>
      <c r="IG24" t="e">
        <f>AND(#REF!,"AAAAAFf4/PA=")</f>
        <v>#REF!</v>
      </c>
      <c r="IH24" t="e">
        <f>AND(#REF!,"AAAAAFf4/PE=")</f>
        <v>#REF!</v>
      </c>
      <c r="II24" t="e">
        <f>AND(#REF!,"AAAAAFf4/PI=")</f>
        <v>#REF!</v>
      </c>
      <c r="IJ24" t="e">
        <f>AND(#REF!,"AAAAAFf4/PM=")</f>
        <v>#REF!</v>
      </c>
      <c r="IK24" t="e">
        <f>AND(#REF!,"AAAAAFf4/PQ=")</f>
        <v>#REF!</v>
      </c>
      <c r="IL24" t="e">
        <f>IF(#REF!,"AAAAAFf4/PU=",0)</f>
        <v>#REF!</v>
      </c>
      <c r="IM24" t="e">
        <f>AND(#REF!,"AAAAAFf4/PY=")</f>
        <v>#REF!</v>
      </c>
      <c r="IN24" t="e">
        <f>AND(#REF!,"AAAAAFf4/Pc=")</f>
        <v>#REF!</v>
      </c>
      <c r="IO24" t="e">
        <f>AND(#REF!,"AAAAAFf4/Pg=")</f>
        <v>#REF!</v>
      </c>
      <c r="IP24" t="e">
        <f>AND(#REF!,"AAAAAFf4/Pk=")</f>
        <v>#REF!</v>
      </c>
      <c r="IQ24" t="e">
        <f>AND(#REF!,"AAAAAFf4/Po=")</f>
        <v>#REF!</v>
      </c>
      <c r="IR24" t="e">
        <f>AND(#REF!,"AAAAAFf4/Ps=")</f>
        <v>#REF!</v>
      </c>
      <c r="IS24" t="e">
        <f>AND(#REF!,"AAAAAFf4/Pw=")</f>
        <v>#REF!</v>
      </c>
      <c r="IT24" t="e">
        <f>AND(#REF!,"AAAAAFf4/P0=")</f>
        <v>#REF!</v>
      </c>
      <c r="IU24" t="e">
        <f>AND(#REF!,"AAAAAFf4/P4=")</f>
        <v>#REF!</v>
      </c>
      <c r="IV24" t="e">
        <f>AND(#REF!,"AAAAAFf4/P8=")</f>
        <v>#REF!</v>
      </c>
    </row>
    <row r="25" spans="1:256" x14ac:dyDescent="0.15">
      <c r="A25" t="e">
        <f>AND(#REF!,"AAAAAGua3AA=")</f>
        <v>#REF!</v>
      </c>
      <c r="B25" t="e">
        <f>AND(#REF!,"AAAAAGua3AE=")</f>
        <v>#REF!</v>
      </c>
      <c r="C25" t="e">
        <f>AND(#REF!,"AAAAAGua3AI=")</f>
        <v>#REF!</v>
      </c>
      <c r="D25" t="e">
        <f>AND(#REF!,"AAAAAGua3AM=")</f>
        <v>#REF!</v>
      </c>
      <c r="E25" t="e">
        <f>AND(#REF!,"AAAAAGua3AQ=")</f>
        <v>#REF!</v>
      </c>
      <c r="F25" t="e">
        <f>AND(#REF!,"AAAAAGua3AU=")</f>
        <v>#REF!</v>
      </c>
      <c r="G25" t="e">
        <f>AND(#REF!,"AAAAAGua3AY=")</f>
        <v>#REF!</v>
      </c>
      <c r="H25" t="e">
        <f>AND(#REF!,"AAAAAGua3Ac=")</f>
        <v>#REF!</v>
      </c>
      <c r="I25" t="e">
        <f>IF(#REF!,"AAAAAGua3Ag=",0)</f>
        <v>#REF!</v>
      </c>
      <c r="J25" t="e">
        <f>AND(#REF!,"AAAAAGua3Ak=")</f>
        <v>#REF!</v>
      </c>
      <c r="K25" t="e">
        <f>AND(#REF!,"AAAAAGua3Ao=")</f>
        <v>#REF!</v>
      </c>
      <c r="L25" t="e">
        <f>AND(#REF!,"AAAAAGua3As=")</f>
        <v>#REF!</v>
      </c>
      <c r="M25" t="e">
        <f>AND(#REF!,"AAAAAGua3Aw=")</f>
        <v>#REF!</v>
      </c>
      <c r="N25" t="e">
        <f>AND(#REF!,"AAAAAGua3A0=")</f>
        <v>#REF!</v>
      </c>
      <c r="O25" t="e">
        <f>AND(#REF!,"AAAAAGua3A4=")</f>
        <v>#REF!</v>
      </c>
      <c r="P25" t="e">
        <f>AND(#REF!,"AAAAAGua3A8=")</f>
        <v>#REF!</v>
      </c>
      <c r="Q25" t="e">
        <f>AND(#REF!,"AAAAAGua3BA=")</f>
        <v>#REF!</v>
      </c>
      <c r="R25" t="e">
        <f>AND(#REF!,"AAAAAGua3BE=")</f>
        <v>#REF!</v>
      </c>
      <c r="S25" t="e">
        <f>AND(#REF!,"AAAAAGua3BI=")</f>
        <v>#REF!</v>
      </c>
      <c r="T25" t="e">
        <f>AND(#REF!,"AAAAAGua3BM=")</f>
        <v>#REF!</v>
      </c>
      <c r="U25" t="e">
        <f>AND(#REF!,"AAAAAGua3BQ=")</f>
        <v>#REF!</v>
      </c>
      <c r="V25" t="e">
        <f>AND(#REF!,"AAAAAGua3BU=")</f>
        <v>#REF!</v>
      </c>
      <c r="W25" t="e">
        <f>AND(#REF!,"AAAAAGua3BY=")</f>
        <v>#REF!</v>
      </c>
      <c r="X25" t="e">
        <f>AND(#REF!,"AAAAAGua3Bc=")</f>
        <v>#REF!</v>
      </c>
      <c r="Y25" t="e">
        <f>AND(#REF!,"AAAAAGua3Bg=")</f>
        <v>#REF!</v>
      </c>
      <c r="Z25" t="e">
        <f>AND(#REF!,"AAAAAGua3Bk=")</f>
        <v>#REF!</v>
      </c>
      <c r="AA25" t="e">
        <f>AND(#REF!,"AAAAAGua3Bo=")</f>
        <v>#REF!</v>
      </c>
      <c r="AB25" t="e">
        <f>IF(#REF!,"AAAAAGua3Bs=",0)</f>
        <v>#REF!</v>
      </c>
      <c r="AC25" t="e">
        <f>AND(#REF!,"AAAAAGua3Bw=")</f>
        <v>#REF!</v>
      </c>
      <c r="AD25" t="e">
        <f>AND(#REF!,"AAAAAGua3B0=")</f>
        <v>#REF!</v>
      </c>
      <c r="AE25" t="e">
        <f>AND(#REF!,"AAAAAGua3B4=")</f>
        <v>#REF!</v>
      </c>
      <c r="AF25" t="e">
        <f>AND(#REF!,"AAAAAGua3B8=")</f>
        <v>#REF!</v>
      </c>
      <c r="AG25" t="e">
        <f>AND(#REF!,"AAAAAGua3CA=")</f>
        <v>#REF!</v>
      </c>
      <c r="AH25" t="e">
        <f>AND(#REF!,"AAAAAGua3CE=")</f>
        <v>#REF!</v>
      </c>
      <c r="AI25" t="e">
        <f>AND(#REF!,"AAAAAGua3CI=")</f>
        <v>#REF!</v>
      </c>
      <c r="AJ25" t="e">
        <f>AND(#REF!,"AAAAAGua3CM=")</f>
        <v>#REF!</v>
      </c>
      <c r="AK25" t="e">
        <f>AND(#REF!,"AAAAAGua3CQ=")</f>
        <v>#REF!</v>
      </c>
      <c r="AL25" t="e">
        <f>AND(#REF!,"AAAAAGua3CU=")</f>
        <v>#REF!</v>
      </c>
      <c r="AM25" t="e">
        <f>AND(#REF!,"AAAAAGua3CY=")</f>
        <v>#REF!</v>
      </c>
      <c r="AN25" t="e">
        <f>AND(#REF!,"AAAAAGua3Cc=")</f>
        <v>#REF!</v>
      </c>
      <c r="AO25" t="e">
        <f>AND(#REF!,"AAAAAGua3Cg=")</f>
        <v>#REF!</v>
      </c>
      <c r="AP25" t="e">
        <f>AND(#REF!,"AAAAAGua3Ck=")</f>
        <v>#REF!</v>
      </c>
      <c r="AQ25" t="e">
        <f>AND(#REF!,"AAAAAGua3Co=")</f>
        <v>#REF!</v>
      </c>
      <c r="AR25" t="e">
        <f>AND(#REF!,"AAAAAGua3Cs=")</f>
        <v>#REF!</v>
      </c>
      <c r="AS25" t="e">
        <f>AND(#REF!,"AAAAAGua3Cw=")</f>
        <v>#REF!</v>
      </c>
      <c r="AT25" t="e">
        <f>AND(#REF!,"AAAAAGua3C0=")</f>
        <v>#REF!</v>
      </c>
      <c r="AU25" t="e">
        <f>IF(#REF!,"AAAAAGua3C4=",0)</f>
        <v>#REF!</v>
      </c>
      <c r="AV25" t="e">
        <f>AND(#REF!,"AAAAAGua3C8=")</f>
        <v>#REF!</v>
      </c>
      <c r="AW25" t="e">
        <f>AND(#REF!,"AAAAAGua3DA=")</f>
        <v>#REF!</v>
      </c>
      <c r="AX25" t="e">
        <f>AND(#REF!,"AAAAAGua3DE=")</f>
        <v>#REF!</v>
      </c>
      <c r="AY25" t="e">
        <f>AND(#REF!,"AAAAAGua3DI=")</f>
        <v>#REF!</v>
      </c>
      <c r="AZ25" t="e">
        <f>AND(#REF!,"AAAAAGua3DM=")</f>
        <v>#REF!</v>
      </c>
      <c r="BA25" t="e">
        <f>AND(#REF!,"AAAAAGua3DQ=")</f>
        <v>#REF!</v>
      </c>
      <c r="BB25" t="e">
        <f>AND(#REF!,"AAAAAGua3DU=")</f>
        <v>#REF!</v>
      </c>
      <c r="BC25" t="e">
        <f>AND(#REF!,"AAAAAGua3DY=")</f>
        <v>#REF!</v>
      </c>
      <c r="BD25" t="e">
        <f>AND(#REF!,"AAAAAGua3Dc=")</f>
        <v>#REF!</v>
      </c>
      <c r="BE25" t="e">
        <f>AND(#REF!,"AAAAAGua3Dg=")</f>
        <v>#REF!</v>
      </c>
      <c r="BF25" t="e">
        <f>AND(#REF!,"AAAAAGua3Dk=")</f>
        <v>#REF!</v>
      </c>
      <c r="BG25" t="e">
        <f>AND(#REF!,"AAAAAGua3Do=")</f>
        <v>#REF!</v>
      </c>
      <c r="BH25" t="e">
        <f>AND(#REF!,"AAAAAGua3Ds=")</f>
        <v>#REF!</v>
      </c>
      <c r="BI25" t="e">
        <f>AND(#REF!,"AAAAAGua3Dw=")</f>
        <v>#REF!</v>
      </c>
      <c r="BJ25" t="e">
        <f>AND(#REF!,"AAAAAGua3D0=")</f>
        <v>#REF!</v>
      </c>
      <c r="BK25" t="e">
        <f>AND(#REF!,"AAAAAGua3D4=")</f>
        <v>#REF!</v>
      </c>
      <c r="BL25" t="e">
        <f>AND(#REF!,"AAAAAGua3D8=")</f>
        <v>#REF!</v>
      </c>
      <c r="BM25" t="e">
        <f>AND(#REF!,"AAAAAGua3EA=")</f>
        <v>#REF!</v>
      </c>
      <c r="BN25" t="e">
        <f>IF(#REF!,"AAAAAGua3EE=",0)</f>
        <v>#REF!</v>
      </c>
      <c r="BO25" t="e">
        <f>AND(#REF!,"AAAAAGua3EI=")</f>
        <v>#REF!</v>
      </c>
      <c r="BP25" t="e">
        <f>AND(#REF!,"AAAAAGua3EM=")</f>
        <v>#REF!</v>
      </c>
      <c r="BQ25" t="e">
        <f>AND(#REF!,"AAAAAGua3EQ=")</f>
        <v>#REF!</v>
      </c>
      <c r="BR25" t="e">
        <f>AND(#REF!,"AAAAAGua3EU=")</f>
        <v>#REF!</v>
      </c>
      <c r="BS25" t="e">
        <f>AND(#REF!,"AAAAAGua3EY=")</f>
        <v>#REF!</v>
      </c>
      <c r="BT25" t="e">
        <f>AND(#REF!,"AAAAAGua3Ec=")</f>
        <v>#REF!</v>
      </c>
      <c r="BU25" t="e">
        <f>AND(#REF!,"AAAAAGua3Eg=")</f>
        <v>#REF!</v>
      </c>
      <c r="BV25" t="e">
        <f>AND(#REF!,"AAAAAGua3Ek=")</f>
        <v>#REF!</v>
      </c>
      <c r="BW25" t="e">
        <f>AND(#REF!,"AAAAAGua3Eo=")</f>
        <v>#REF!</v>
      </c>
      <c r="BX25" t="e">
        <f>AND(#REF!,"AAAAAGua3Es=")</f>
        <v>#REF!</v>
      </c>
      <c r="BY25" t="e">
        <f>AND(#REF!,"AAAAAGua3Ew=")</f>
        <v>#REF!</v>
      </c>
      <c r="BZ25" t="e">
        <f>AND(#REF!,"AAAAAGua3E0=")</f>
        <v>#REF!</v>
      </c>
      <c r="CA25" t="e">
        <f>AND(#REF!,"AAAAAGua3E4=")</f>
        <v>#REF!</v>
      </c>
      <c r="CB25" t="e">
        <f>AND(#REF!,"AAAAAGua3E8=")</f>
        <v>#REF!</v>
      </c>
      <c r="CC25" t="e">
        <f>AND(#REF!,"AAAAAGua3FA=")</f>
        <v>#REF!</v>
      </c>
      <c r="CD25" t="e">
        <f>AND(#REF!,"AAAAAGua3FE=")</f>
        <v>#REF!</v>
      </c>
      <c r="CE25" t="e">
        <f>AND(#REF!,"AAAAAGua3FI=")</f>
        <v>#REF!</v>
      </c>
      <c r="CF25" t="e">
        <f>AND(#REF!,"AAAAAGua3FM=")</f>
        <v>#REF!</v>
      </c>
      <c r="CG25" t="e">
        <f>IF(#REF!,"AAAAAGua3FQ=",0)</f>
        <v>#REF!</v>
      </c>
      <c r="CH25" t="e">
        <f>AND(#REF!,"AAAAAGua3FU=")</f>
        <v>#REF!</v>
      </c>
      <c r="CI25" t="e">
        <f>AND(#REF!,"AAAAAGua3FY=")</f>
        <v>#REF!</v>
      </c>
      <c r="CJ25" t="e">
        <f>AND(#REF!,"AAAAAGua3Fc=")</f>
        <v>#REF!</v>
      </c>
      <c r="CK25" t="e">
        <f>AND(#REF!,"AAAAAGua3Fg=")</f>
        <v>#REF!</v>
      </c>
      <c r="CL25" t="e">
        <f>AND(#REF!,"AAAAAGua3Fk=")</f>
        <v>#REF!</v>
      </c>
      <c r="CM25" t="e">
        <f>AND(#REF!,"AAAAAGua3Fo=")</f>
        <v>#REF!</v>
      </c>
      <c r="CN25" t="e">
        <f>AND(#REF!,"AAAAAGua3Fs=")</f>
        <v>#REF!</v>
      </c>
      <c r="CO25" t="e">
        <f>AND(#REF!,"AAAAAGua3Fw=")</f>
        <v>#REF!</v>
      </c>
      <c r="CP25" t="e">
        <f>AND(#REF!,"AAAAAGua3F0=")</f>
        <v>#REF!</v>
      </c>
      <c r="CQ25" t="e">
        <f>AND(#REF!,"AAAAAGua3F4=")</f>
        <v>#REF!</v>
      </c>
      <c r="CR25" t="e">
        <f>AND(#REF!,"AAAAAGua3F8=")</f>
        <v>#REF!</v>
      </c>
      <c r="CS25" t="e">
        <f>AND(#REF!,"AAAAAGua3GA=")</f>
        <v>#REF!</v>
      </c>
      <c r="CT25" t="e">
        <f>AND(#REF!,"AAAAAGua3GE=")</f>
        <v>#REF!</v>
      </c>
      <c r="CU25" t="e">
        <f>AND(#REF!,"AAAAAGua3GI=")</f>
        <v>#REF!</v>
      </c>
      <c r="CV25" t="e">
        <f>AND(#REF!,"AAAAAGua3GM=")</f>
        <v>#REF!</v>
      </c>
      <c r="CW25" t="e">
        <f>AND(#REF!,"AAAAAGua3GQ=")</f>
        <v>#REF!</v>
      </c>
      <c r="CX25" t="e">
        <f>AND(#REF!,"AAAAAGua3GU=")</f>
        <v>#REF!</v>
      </c>
      <c r="CY25" t="e">
        <f>AND(#REF!,"AAAAAGua3GY=")</f>
        <v>#REF!</v>
      </c>
      <c r="CZ25" t="e">
        <f>IF(#REF!,"AAAAAGua3Gc=",0)</f>
        <v>#REF!</v>
      </c>
      <c r="DA25" t="e">
        <f>AND(#REF!,"AAAAAGua3Gg=")</f>
        <v>#REF!</v>
      </c>
      <c r="DB25" t="e">
        <f>AND(#REF!,"AAAAAGua3Gk=")</f>
        <v>#REF!</v>
      </c>
      <c r="DC25" t="e">
        <f>AND(#REF!,"AAAAAGua3Go=")</f>
        <v>#REF!</v>
      </c>
      <c r="DD25" t="e">
        <f>AND(#REF!,"AAAAAGua3Gs=")</f>
        <v>#REF!</v>
      </c>
      <c r="DE25" t="e">
        <f>AND(#REF!,"AAAAAGua3Gw=")</f>
        <v>#REF!</v>
      </c>
      <c r="DF25" t="e">
        <f>AND(#REF!,"AAAAAGua3G0=")</f>
        <v>#REF!</v>
      </c>
      <c r="DG25" t="e">
        <f>AND(#REF!,"AAAAAGua3G4=")</f>
        <v>#REF!</v>
      </c>
      <c r="DH25" t="e">
        <f>AND(#REF!,"AAAAAGua3G8=")</f>
        <v>#REF!</v>
      </c>
      <c r="DI25" t="e">
        <f>AND(#REF!,"AAAAAGua3HA=")</f>
        <v>#REF!</v>
      </c>
      <c r="DJ25" t="e">
        <f>AND(#REF!,"AAAAAGua3HE=")</f>
        <v>#REF!</v>
      </c>
      <c r="DK25" t="e">
        <f>AND(#REF!,"AAAAAGua3HI=")</f>
        <v>#REF!</v>
      </c>
      <c r="DL25" t="e">
        <f>AND(#REF!,"AAAAAGua3HM=")</f>
        <v>#REF!</v>
      </c>
      <c r="DM25" t="e">
        <f>AND(#REF!,"AAAAAGua3HQ=")</f>
        <v>#REF!</v>
      </c>
      <c r="DN25" t="e">
        <f>AND(#REF!,"AAAAAGua3HU=")</f>
        <v>#REF!</v>
      </c>
      <c r="DO25" t="e">
        <f>AND(#REF!,"AAAAAGua3HY=")</f>
        <v>#REF!</v>
      </c>
      <c r="DP25" t="e">
        <f>AND(#REF!,"AAAAAGua3Hc=")</f>
        <v>#REF!</v>
      </c>
      <c r="DQ25" t="e">
        <f>AND(#REF!,"AAAAAGua3Hg=")</f>
        <v>#REF!</v>
      </c>
      <c r="DR25" t="e">
        <f>AND(#REF!,"AAAAAGua3Hk=")</f>
        <v>#REF!</v>
      </c>
      <c r="DS25" t="e">
        <f>IF(#REF!,"AAAAAGua3Ho=",0)</f>
        <v>#REF!</v>
      </c>
      <c r="DT25" t="e">
        <f>AND(#REF!,"AAAAAGua3Hs=")</f>
        <v>#REF!</v>
      </c>
      <c r="DU25" t="e">
        <f>AND(#REF!,"AAAAAGua3Hw=")</f>
        <v>#REF!</v>
      </c>
      <c r="DV25" t="e">
        <f>AND(#REF!,"AAAAAGua3H0=")</f>
        <v>#REF!</v>
      </c>
      <c r="DW25" t="e">
        <f>AND(#REF!,"AAAAAGua3H4=")</f>
        <v>#REF!</v>
      </c>
      <c r="DX25" t="e">
        <f>AND(#REF!,"AAAAAGua3H8=")</f>
        <v>#REF!</v>
      </c>
      <c r="DY25" t="e">
        <f>AND(#REF!,"AAAAAGua3IA=")</f>
        <v>#REF!</v>
      </c>
      <c r="DZ25" t="e">
        <f>AND(#REF!,"AAAAAGua3IE=")</f>
        <v>#REF!</v>
      </c>
      <c r="EA25" t="e">
        <f>AND(#REF!,"AAAAAGua3II=")</f>
        <v>#REF!</v>
      </c>
      <c r="EB25" t="e">
        <f>AND(#REF!,"AAAAAGua3IM=")</f>
        <v>#REF!</v>
      </c>
      <c r="EC25" t="e">
        <f>AND(#REF!,"AAAAAGua3IQ=")</f>
        <v>#REF!</v>
      </c>
      <c r="ED25" t="e">
        <f>AND(#REF!,"AAAAAGua3IU=")</f>
        <v>#REF!</v>
      </c>
      <c r="EE25" t="e">
        <f>AND(#REF!,"AAAAAGua3IY=")</f>
        <v>#REF!</v>
      </c>
      <c r="EF25" t="e">
        <f>AND(#REF!,"AAAAAGua3Ic=")</f>
        <v>#REF!</v>
      </c>
      <c r="EG25" t="e">
        <f>AND(#REF!,"AAAAAGua3Ig=")</f>
        <v>#REF!</v>
      </c>
      <c r="EH25" t="e">
        <f>AND(#REF!,"AAAAAGua3Ik=")</f>
        <v>#REF!</v>
      </c>
      <c r="EI25" t="e">
        <f>AND(#REF!,"AAAAAGua3Io=")</f>
        <v>#REF!</v>
      </c>
      <c r="EJ25" t="e">
        <f>AND(#REF!,"AAAAAGua3Is=")</f>
        <v>#REF!</v>
      </c>
      <c r="EK25" t="e">
        <f>AND(#REF!,"AAAAAGua3Iw=")</f>
        <v>#REF!</v>
      </c>
      <c r="EL25" t="e">
        <f>IF(#REF!,"AAAAAGua3I0=",0)</f>
        <v>#REF!</v>
      </c>
      <c r="EM25" t="e">
        <f>AND(#REF!,"AAAAAGua3I4=")</f>
        <v>#REF!</v>
      </c>
      <c r="EN25" t="e">
        <f>AND(#REF!,"AAAAAGua3I8=")</f>
        <v>#REF!</v>
      </c>
      <c r="EO25" t="e">
        <f>AND(#REF!,"AAAAAGua3JA=")</f>
        <v>#REF!</v>
      </c>
      <c r="EP25" t="e">
        <f>AND(#REF!,"AAAAAGua3JE=")</f>
        <v>#REF!</v>
      </c>
      <c r="EQ25" t="e">
        <f>AND(#REF!,"AAAAAGua3JI=")</f>
        <v>#REF!</v>
      </c>
      <c r="ER25" t="e">
        <f>AND(#REF!,"AAAAAGua3JM=")</f>
        <v>#REF!</v>
      </c>
      <c r="ES25" t="e">
        <f>AND(#REF!,"AAAAAGua3JQ=")</f>
        <v>#REF!</v>
      </c>
      <c r="ET25" t="e">
        <f>AND(#REF!,"AAAAAGua3JU=")</f>
        <v>#REF!</v>
      </c>
      <c r="EU25" t="e">
        <f>AND(#REF!,"AAAAAGua3JY=")</f>
        <v>#REF!</v>
      </c>
      <c r="EV25" t="e">
        <f>AND(#REF!,"AAAAAGua3Jc=")</f>
        <v>#REF!</v>
      </c>
      <c r="EW25" t="e">
        <f>AND(#REF!,"AAAAAGua3Jg=")</f>
        <v>#REF!</v>
      </c>
      <c r="EX25" t="e">
        <f>AND(#REF!,"AAAAAGua3Jk=")</f>
        <v>#REF!</v>
      </c>
      <c r="EY25" t="e">
        <f>AND(#REF!,"AAAAAGua3Jo=")</f>
        <v>#REF!</v>
      </c>
      <c r="EZ25" t="e">
        <f>AND(#REF!,"AAAAAGua3Js=")</f>
        <v>#REF!</v>
      </c>
      <c r="FA25" t="e">
        <f>AND(#REF!,"AAAAAGua3Jw=")</f>
        <v>#REF!</v>
      </c>
      <c r="FB25" t="e">
        <f>AND(#REF!,"AAAAAGua3J0=")</f>
        <v>#REF!</v>
      </c>
      <c r="FC25" t="e">
        <f>AND(#REF!,"AAAAAGua3J4=")</f>
        <v>#REF!</v>
      </c>
      <c r="FD25" t="e">
        <f>AND(#REF!,"AAAAAGua3J8=")</f>
        <v>#REF!</v>
      </c>
      <c r="FE25" t="e">
        <f>IF(#REF!,"AAAAAGua3KA=",0)</f>
        <v>#REF!</v>
      </c>
      <c r="FF25" t="e">
        <f>AND(#REF!,"AAAAAGua3KE=")</f>
        <v>#REF!</v>
      </c>
      <c r="FG25" t="e">
        <f>AND(#REF!,"AAAAAGua3KI=")</f>
        <v>#REF!</v>
      </c>
      <c r="FH25" t="e">
        <f>AND(#REF!,"AAAAAGua3KM=")</f>
        <v>#REF!</v>
      </c>
      <c r="FI25" t="e">
        <f>AND(#REF!,"AAAAAGua3KQ=")</f>
        <v>#REF!</v>
      </c>
      <c r="FJ25" t="e">
        <f>AND(#REF!,"AAAAAGua3KU=")</f>
        <v>#REF!</v>
      </c>
      <c r="FK25" t="e">
        <f>AND(#REF!,"AAAAAGua3KY=")</f>
        <v>#REF!</v>
      </c>
      <c r="FL25" t="e">
        <f>AND(#REF!,"AAAAAGua3Kc=")</f>
        <v>#REF!</v>
      </c>
      <c r="FM25" t="e">
        <f>AND(#REF!,"AAAAAGua3Kg=")</f>
        <v>#REF!</v>
      </c>
      <c r="FN25" t="e">
        <f>AND(#REF!,"AAAAAGua3Kk=")</f>
        <v>#REF!</v>
      </c>
      <c r="FO25" t="e">
        <f>AND(#REF!,"AAAAAGua3Ko=")</f>
        <v>#REF!</v>
      </c>
      <c r="FP25" t="e">
        <f>AND(#REF!,"AAAAAGua3Ks=")</f>
        <v>#REF!</v>
      </c>
      <c r="FQ25" t="e">
        <f>AND(#REF!,"AAAAAGua3Kw=")</f>
        <v>#REF!</v>
      </c>
      <c r="FR25" t="e">
        <f>AND(#REF!,"AAAAAGua3K0=")</f>
        <v>#REF!</v>
      </c>
      <c r="FS25" t="e">
        <f>AND(#REF!,"AAAAAGua3K4=")</f>
        <v>#REF!</v>
      </c>
      <c r="FT25" t="e">
        <f>AND(#REF!,"AAAAAGua3K8=")</f>
        <v>#REF!</v>
      </c>
      <c r="FU25" t="e">
        <f>AND(#REF!,"AAAAAGua3LA=")</f>
        <v>#REF!</v>
      </c>
      <c r="FV25" t="e">
        <f>AND(#REF!,"AAAAAGua3LE=")</f>
        <v>#REF!</v>
      </c>
      <c r="FW25" t="e">
        <f>AND(#REF!,"AAAAAGua3LI=")</f>
        <v>#REF!</v>
      </c>
      <c r="FX25" t="e">
        <f>IF(#REF!,"AAAAAGua3LM=",0)</f>
        <v>#REF!</v>
      </c>
      <c r="FY25" t="e">
        <f>AND(#REF!,"AAAAAGua3LQ=")</f>
        <v>#REF!</v>
      </c>
      <c r="FZ25" t="e">
        <f>AND(#REF!,"AAAAAGua3LU=")</f>
        <v>#REF!</v>
      </c>
      <c r="GA25" t="e">
        <f>AND(#REF!,"AAAAAGua3LY=")</f>
        <v>#REF!</v>
      </c>
      <c r="GB25" t="e">
        <f>AND(#REF!,"AAAAAGua3Lc=")</f>
        <v>#REF!</v>
      </c>
      <c r="GC25" t="e">
        <f>AND(#REF!,"AAAAAGua3Lg=")</f>
        <v>#REF!</v>
      </c>
      <c r="GD25" t="e">
        <f>AND(#REF!,"AAAAAGua3Lk=")</f>
        <v>#REF!</v>
      </c>
      <c r="GE25" t="e">
        <f>AND(#REF!,"AAAAAGua3Lo=")</f>
        <v>#REF!</v>
      </c>
      <c r="GF25" t="e">
        <f>AND(#REF!,"AAAAAGua3Ls=")</f>
        <v>#REF!</v>
      </c>
      <c r="GG25" t="e">
        <f>AND(#REF!,"AAAAAGua3Lw=")</f>
        <v>#REF!</v>
      </c>
      <c r="GH25" t="e">
        <f>AND(#REF!,"AAAAAGua3L0=")</f>
        <v>#REF!</v>
      </c>
      <c r="GI25" t="e">
        <f>AND(#REF!,"AAAAAGua3L4=")</f>
        <v>#REF!</v>
      </c>
      <c r="GJ25" t="e">
        <f>AND(#REF!,"AAAAAGua3L8=")</f>
        <v>#REF!</v>
      </c>
      <c r="GK25" t="e">
        <f>AND(#REF!,"AAAAAGua3MA=")</f>
        <v>#REF!</v>
      </c>
      <c r="GL25" t="e">
        <f>AND(#REF!,"AAAAAGua3ME=")</f>
        <v>#REF!</v>
      </c>
      <c r="GM25" t="e">
        <f>AND(#REF!,"AAAAAGua3MI=")</f>
        <v>#REF!</v>
      </c>
      <c r="GN25" t="e">
        <f>AND(#REF!,"AAAAAGua3MM=")</f>
        <v>#REF!</v>
      </c>
      <c r="GO25" t="e">
        <f>AND(#REF!,"AAAAAGua3MQ=")</f>
        <v>#REF!</v>
      </c>
      <c r="GP25" t="e">
        <f>AND(#REF!,"AAAAAGua3MU=")</f>
        <v>#REF!</v>
      </c>
      <c r="GQ25" t="e">
        <f>IF(#REF!,"AAAAAGua3MY=",0)</f>
        <v>#REF!</v>
      </c>
      <c r="GR25" t="e">
        <f>AND(#REF!,"AAAAAGua3Mc=")</f>
        <v>#REF!</v>
      </c>
      <c r="GS25" t="e">
        <f>AND(#REF!,"AAAAAGua3Mg=")</f>
        <v>#REF!</v>
      </c>
      <c r="GT25" t="e">
        <f>AND(#REF!,"AAAAAGua3Mk=")</f>
        <v>#REF!</v>
      </c>
      <c r="GU25" t="e">
        <f>AND(#REF!,"AAAAAGua3Mo=")</f>
        <v>#REF!</v>
      </c>
      <c r="GV25" t="e">
        <f>AND(#REF!,"AAAAAGua3Ms=")</f>
        <v>#REF!</v>
      </c>
      <c r="GW25" t="e">
        <f>AND(#REF!,"AAAAAGua3Mw=")</f>
        <v>#REF!</v>
      </c>
      <c r="GX25" t="e">
        <f>AND(#REF!,"AAAAAGua3M0=")</f>
        <v>#REF!</v>
      </c>
      <c r="GY25" t="e">
        <f>AND(#REF!,"AAAAAGua3M4=")</f>
        <v>#REF!</v>
      </c>
      <c r="GZ25" t="e">
        <f>AND(#REF!,"AAAAAGua3M8=")</f>
        <v>#REF!</v>
      </c>
      <c r="HA25" t="e">
        <f>AND(#REF!,"AAAAAGua3NA=")</f>
        <v>#REF!</v>
      </c>
      <c r="HB25" t="e">
        <f>AND(#REF!,"AAAAAGua3NE=")</f>
        <v>#REF!</v>
      </c>
      <c r="HC25" t="e">
        <f>AND(#REF!,"AAAAAGua3NI=")</f>
        <v>#REF!</v>
      </c>
      <c r="HD25" t="e">
        <f>AND(#REF!,"AAAAAGua3NM=")</f>
        <v>#REF!</v>
      </c>
      <c r="HE25" t="e">
        <f>AND(#REF!,"AAAAAGua3NQ=")</f>
        <v>#REF!</v>
      </c>
      <c r="HF25" t="e">
        <f>AND(#REF!,"AAAAAGua3NU=")</f>
        <v>#REF!</v>
      </c>
      <c r="HG25" t="e">
        <f>AND(#REF!,"AAAAAGua3NY=")</f>
        <v>#REF!</v>
      </c>
      <c r="HH25" t="e">
        <f>AND(#REF!,"AAAAAGua3Nc=")</f>
        <v>#REF!</v>
      </c>
      <c r="HI25" t="e">
        <f>AND(#REF!,"AAAAAGua3Ng=")</f>
        <v>#REF!</v>
      </c>
      <c r="HJ25" t="e">
        <f>IF(#REF!,"AAAAAGua3Nk=",0)</f>
        <v>#REF!</v>
      </c>
      <c r="HK25" t="e">
        <f>AND(#REF!,"AAAAAGua3No=")</f>
        <v>#REF!</v>
      </c>
      <c r="HL25" t="e">
        <f>AND(#REF!,"AAAAAGua3Ns=")</f>
        <v>#REF!</v>
      </c>
      <c r="HM25" t="e">
        <f>AND(#REF!,"AAAAAGua3Nw=")</f>
        <v>#REF!</v>
      </c>
      <c r="HN25" t="e">
        <f>AND(#REF!,"AAAAAGua3N0=")</f>
        <v>#REF!</v>
      </c>
      <c r="HO25" t="e">
        <f>AND(#REF!,"AAAAAGua3N4=")</f>
        <v>#REF!</v>
      </c>
      <c r="HP25" t="e">
        <f>AND(#REF!,"AAAAAGua3N8=")</f>
        <v>#REF!</v>
      </c>
      <c r="HQ25" t="e">
        <f>AND(#REF!,"AAAAAGua3OA=")</f>
        <v>#REF!</v>
      </c>
      <c r="HR25" t="e">
        <f>AND(#REF!,"AAAAAGua3OE=")</f>
        <v>#REF!</v>
      </c>
      <c r="HS25" t="e">
        <f>AND(#REF!,"AAAAAGua3OI=")</f>
        <v>#REF!</v>
      </c>
      <c r="HT25" t="e">
        <f>AND(#REF!,"AAAAAGua3OM=")</f>
        <v>#REF!</v>
      </c>
      <c r="HU25" t="e">
        <f>AND(#REF!,"AAAAAGua3OQ=")</f>
        <v>#REF!</v>
      </c>
      <c r="HV25" t="e">
        <f>AND(#REF!,"AAAAAGua3OU=")</f>
        <v>#REF!</v>
      </c>
      <c r="HW25" t="e">
        <f>AND(#REF!,"AAAAAGua3OY=")</f>
        <v>#REF!</v>
      </c>
      <c r="HX25" t="e">
        <f>AND(#REF!,"AAAAAGua3Oc=")</f>
        <v>#REF!</v>
      </c>
      <c r="HY25" t="e">
        <f>AND(#REF!,"AAAAAGua3Og=")</f>
        <v>#REF!</v>
      </c>
      <c r="HZ25" t="e">
        <f>AND(#REF!,"AAAAAGua3Ok=")</f>
        <v>#REF!</v>
      </c>
      <c r="IA25" t="e">
        <f>AND(#REF!,"AAAAAGua3Oo=")</f>
        <v>#REF!</v>
      </c>
      <c r="IB25" t="e">
        <f>AND(#REF!,"AAAAAGua3Os=")</f>
        <v>#REF!</v>
      </c>
      <c r="IC25" t="e">
        <f>IF(#REF!,"AAAAAGua3Ow=",0)</f>
        <v>#REF!</v>
      </c>
      <c r="ID25" t="e">
        <f>AND(#REF!,"AAAAAGua3O0=")</f>
        <v>#REF!</v>
      </c>
      <c r="IE25" t="e">
        <f>AND(#REF!,"AAAAAGua3O4=")</f>
        <v>#REF!</v>
      </c>
      <c r="IF25" t="e">
        <f>AND(#REF!,"AAAAAGua3O8=")</f>
        <v>#REF!</v>
      </c>
      <c r="IG25" t="e">
        <f>AND(#REF!,"AAAAAGua3PA=")</f>
        <v>#REF!</v>
      </c>
      <c r="IH25" t="e">
        <f>AND(#REF!,"AAAAAGua3PE=")</f>
        <v>#REF!</v>
      </c>
      <c r="II25" t="e">
        <f>AND(#REF!,"AAAAAGua3PI=")</f>
        <v>#REF!</v>
      </c>
      <c r="IJ25" t="e">
        <f>AND(#REF!,"AAAAAGua3PM=")</f>
        <v>#REF!</v>
      </c>
      <c r="IK25" t="e">
        <f>AND(#REF!,"AAAAAGua3PQ=")</f>
        <v>#REF!</v>
      </c>
      <c r="IL25" t="e">
        <f>AND(#REF!,"AAAAAGua3PU=")</f>
        <v>#REF!</v>
      </c>
      <c r="IM25" t="e">
        <f>AND(#REF!,"AAAAAGua3PY=")</f>
        <v>#REF!</v>
      </c>
      <c r="IN25" t="e">
        <f>AND(#REF!,"AAAAAGua3Pc=")</f>
        <v>#REF!</v>
      </c>
      <c r="IO25" t="e">
        <f>AND(#REF!,"AAAAAGua3Pg=")</f>
        <v>#REF!</v>
      </c>
      <c r="IP25" t="e">
        <f>AND(#REF!,"AAAAAGua3Pk=")</f>
        <v>#REF!</v>
      </c>
      <c r="IQ25" t="e">
        <f>AND(#REF!,"AAAAAGua3Po=")</f>
        <v>#REF!</v>
      </c>
      <c r="IR25" t="e">
        <f>AND(#REF!,"AAAAAGua3Ps=")</f>
        <v>#REF!</v>
      </c>
      <c r="IS25" t="e">
        <f>AND(#REF!,"AAAAAGua3Pw=")</f>
        <v>#REF!</v>
      </c>
      <c r="IT25" t="e">
        <f>AND(#REF!,"AAAAAGua3P0=")</f>
        <v>#REF!</v>
      </c>
      <c r="IU25" t="e">
        <f>AND(#REF!,"AAAAAGua3P4=")</f>
        <v>#REF!</v>
      </c>
      <c r="IV25" t="e">
        <f>IF(#REF!,"AAAAAGua3P8=",0)</f>
        <v>#REF!</v>
      </c>
    </row>
    <row r="26" spans="1:256" x14ac:dyDescent="0.15">
      <c r="A26" t="e">
        <f>AND(#REF!,"AAAAAE/7/wA=")</f>
        <v>#REF!</v>
      </c>
      <c r="B26" t="e">
        <f>AND(#REF!,"AAAAAE/7/wE=")</f>
        <v>#REF!</v>
      </c>
      <c r="C26" t="e">
        <f>AND(#REF!,"AAAAAE/7/wI=")</f>
        <v>#REF!</v>
      </c>
      <c r="D26" t="e">
        <f>AND(#REF!,"AAAAAE/7/wM=")</f>
        <v>#REF!</v>
      </c>
      <c r="E26" t="e">
        <f>AND(#REF!,"AAAAAE/7/wQ=")</f>
        <v>#REF!</v>
      </c>
      <c r="F26" t="e">
        <f>AND(#REF!,"AAAAAE/7/wU=")</f>
        <v>#REF!</v>
      </c>
      <c r="G26" t="e">
        <f>AND(#REF!,"AAAAAE/7/wY=")</f>
        <v>#REF!</v>
      </c>
      <c r="H26" t="e">
        <f>AND(#REF!,"AAAAAE/7/wc=")</f>
        <v>#REF!</v>
      </c>
      <c r="I26" t="e">
        <f>AND(#REF!,"AAAAAE/7/wg=")</f>
        <v>#REF!</v>
      </c>
      <c r="J26" t="e">
        <f>AND(#REF!,"AAAAAE/7/wk=")</f>
        <v>#REF!</v>
      </c>
      <c r="K26" t="e">
        <f>AND(#REF!,"AAAAAE/7/wo=")</f>
        <v>#REF!</v>
      </c>
      <c r="L26" t="e">
        <f>AND(#REF!,"AAAAAE/7/ws=")</f>
        <v>#REF!</v>
      </c>
      <c r="M26" t="e">
        <f>AND(#REF!,"AAAAAE/7/ww=")</f>
        <v>#REF!</v>
      </c>
      <c r="N26" t="e">
        <f>AND(#REF!,"AAAAAE/7/w0=")</f>
        <v>#REF!</v>
      </c>
      <c r="O26" t="e">
        <f>AND(#REF!,"AAAAAE/7/w4=")</f>
        <v>#REF!</v>
      </c>
      <c r="P26" t="e">
        <f>AND(#REF!,"AAAAAE/7/w8=")</f>
        <v>#REF!</v>
      </c>
      <c r="Q26" t="e">
        <f>AND(#REF!,"AAAAAE/7/xA=")</f>
        <v>#REF!</v>
      </c>
      <c r="R26" t="e">
        <f>AND(#REF!,"AAAAAE/7/xE=")</f>
        <v>#REF!</v>
      </c>
      <c r="S26" t="e">
        <f>IF(#REF!,"AAAAAE/7/xI=",0)</f>
        <v>#REF!</v>
      </c>
      <c r="T26" t="e">
        <f>AND(#REF!,"AAAAAE/7/xM=")</f>
        <v>#REF!</v>
      </c>
      <c r="U26" t="e">
        <f>AND(#REF!,"AAAAAE/7/xQ=")</f>
        <v>#REF!</v>
      </c>
      <c r="V26" t="e">
        <f>AND(#REF!,"AAAAAE/7/xU=")</f>
        <v>#REF!</v>
      </c>
      <c r="W26" t="e">
        <f>AND(#REF!,"AAAAAE/7/xY=")</f>
        <v>#REF!</v>
      </c>
      <c r="X26" t="e">
        <f>AND(#REF!,"AAAAAE/7/xc=")</f>
        <v>#REF!</v>
      </c>
      <c r="Y26" t="e">
        <f>AND(#REF!,"AAAAAE/7/xg=")</f>
        <v>#REF!</v>
      </c>
      <c r="Z26" t="e">
        <f>AND(#REF!,"AAAAAE/7/xk=")</f>
        <v>#REF!</v>
      </c>
      <c r="AA26" t="e">
        <f>AND(#REF!,"AAAAAE/7/xo=")</f>
        <v>#REF!</v>
      </c>
      <c r="AB26" t="e">
        <f>AND(#REF!,"AAAAAE/7/xs=")</f>
        <v>#REF!</v>
      </c>
      <c r="AC26" t="e">
        <f>AND(#REF!,"AAAAAE/7/xw=")</f>
        <v>#REF!</v>
      </c>
      <c r="AD26" t="e">
        <f>AND(#REF!,"AAAAAE/7/x0=")</f>
        <v>#REF!</v>
      </c>
      <c r="AE26" t="e">
        <f>AND(#REF!,"AAAAAE/7/x4=")</f>
        <v>#REF!</v>
      </c>
      <c r="AF26" t="e">
        <f>AND(#REF!,"AAAAAE/7/x8=")</f>
        <v>#REF!</v>
      </c>
      <c r="AG26" t="e">
        <f>AND(#REF!,"AAAAAE/7/yA=")</f>
        <v>#REF!</v>
      </c>
      <c r="AH26" t="e">
        <f>AND(#REF!,"AAAAAE/7/yE=")</f>
        <v>#REF!</v>
      </c>
      <c r="AI26" t="e">
        <f>AND(#REF!,"AAAAAE/7/yI=")</f>
        <v>#REF!</v>
      </c>
      <c r="AJ26" t="e">
        <f>AND(#REF!,"AAAAAE/7/yM=")</f>
        <v>#REF!</v>
      </c>
      <c r="AK26" t="e">
        <f>AND(#REF!,"AAAAAE/7/yQ=")</f>
        <v>#REF!</v>
      </c>
      <c r="AL26" t="e">
        <f>IF(#REF!,"AAAAAE/7/yU=",0)</f>
        <v>#REF!</v>
      </c>
      <c r="AM26" t="e">
        <f>AND(#REF!,"AAAAAE/7/yY=")</f>
        <v>#REF!</v>
      </c>
      <c r="AN26" t="e">
        <f>AND(#REF!,"AAAAAE/7/yc=")</f>
        <v>#REF!</v>
      </c>
      <c r="AO26" t="e">
        <f>AND(#REF!,"AAAAAE/7/yg=")</f>
        <v>#REF!</v>
      </c>
      <c r="AP26" t="e">
        <f>AND(#REF!,"AAAAAE/7/yk=")</f>
        <v>#REF!</v>
      </c>
      <c r="AQ26" t="e">
        <f>AND(#REF!,"AAAAAE/7/yo=")</f>
        <v>#REF!</v>
      </c>
      <c r="AR26" t="e">
        <f>AND(#REF!,"AAAAAE/7/ys=")</f>
        <v>#REF!</v>
      </c>
      <c r="AS26" t="e">
        <f>AND(#REF!,"AAAAAE/7/yw=")</f>
        <v>#REF!</v>
      </c>
      <c r="AT26" t="e">
        <f>AND(#REF!,"AAAAAE/7/y0=")</f>
        <v>#REF!</v>
      </c>
      <c r="AU26" t="e">
        <f>AND(#REF!,"AAAAAE/7/y4=")</f>
        <v>#REF!</v>
      </c>
      <c r="AV26" t="e">
        <f>AND(#REF!,"AAAAAE/7/y8=")</f>
        <v>#REF!</v>
      </c>
      <c r="AW26" t="e">
        <f>AND(#REF!,"AAAAAE/7/zA=")</f>
        <v>#REF!</v>
      </c>
      <c r="AX26" t="e">
        <f>AND(#REF!,"AAAAAE/7/zE=")</f>
        <v>#REF!</v>
      </c>
      <c r="AY26" t="e">
        <f>AND(#REF!,"AAAAAE/7/zI=")</f>
        <v>#REF!</v>
      </c>
      <c r="AZ26" t="e">
        <f>AND(#REF!,"AAAAAE/7/zM=")</f>
        <v>#REF!</v>
      </c>
      <c r="BA26" t="e">
        <f>AND(#REF!,"AAAAAE/7/zQ=")</f>
        <v>#REF!</v>
      </c>
      <c r="BB26" t="e">
        <f>AND(#REF!,"AAAAAE/7/zU=")</f>
        <v>#REF!</v>
      </c>
      <c r="BC26" t="e">
        <f>AND(#REF!,"AAAAAE/7/zY=")</f>
        <v>#REF!</v>
      </c>
      <c r="BD26" t="e">
        <f>AND(#REF!,"AAAAAE/7/zc=")</f>
        <v>#REF!</v>
      </c>
      <c r="BE26" t="e">
        <f>IF(#REF!,"AAAAAE/7/zg=",0)</f>
        <v>#REF!</v>
      </c>
      <c r="BF26" t="e">
        <f>AND(#REF!,"AAAAAE/7/zk=")</f>
        <v>#REF!</v>
      </c>
      <c r="BG26" t="e">
        <f>AND(#REF!,"AAAAAE/7/zo=")</f>
        <v>#REF!</v>
      </c>
      <c r="BH26" t="e">
        <f>AND(#REF!,"AAAAAE/7/zs=")</f>
        <v>#REF!</v>
      </c>
      <c r="BI26" t="e">
        <f>AND(#REF!,"AAAAAE/7/zw=")</f>
        <v>#REF!</v>
      </c>
      <c r="BJ26" t="e">
        <f>AND(#REF!,"AAAAAE/7/z0=")</f>
        <v>#REF!</v>
      </c>
      <c r="BK26" t="e">
        <f>AND(#REF!,"AAAAAE/7/z4=")</f>
        <v>#REF!</v>
      </c>
      <c r="BL26" t="e">
        <f>AND(#REF!,"AAAAAE/7/z8=")</f>
        <v>#REF!</v>
      </c>
      <c r="BM26" t="e">
        <f>AND(#REF!,"AAAAAE/7/0A=")</f>
        <v>#REF!</v>
      </c>
      <c r="BN26" t="e">
        <f>AND(#REF!,"AAAAAE/7/0E=")</f>
        <v>#REF!</v>
      </c>
      <c r="BO26" t="e">
        <f>AND(#REF!,"AAAAAE/7/0I=")</f>
        <v>#REF!</v>
      </c>
      <c r="BP26" t="e">
        <f>AND(#REF!,"AAAAAE/7/0M=")</f>
        <v>#REF!</v>
      </c>
      <c r="BQ26" t="e">
        <f>AND(#REF!,"AAAAAE/7/0Q=")</f>
        <v>#REF!</v>
      </c>
      <c r="BR26" t="e">
        <f>AND(#REF!,"AAAAAE/7/0U=")</f>
        <v>#REF!</v>
      </c>
      <c r="BS26" t="e">
        <f>AND(#REF!,"AAAAAE/7/0Y=")</f>
        <v>#REF!</v>
      </c>
      <c r="BT26" t="e">
        <f>AND(#REF!,"AAAAAE/7/0c=")</f>
        <v>#REF!</v>
      </c>
      <c r="BU26" t="e">
        <f>AND(#REF!,"AAAAAE/7/0g=")</f>
        <v>#REF!</v>
      </c>
      <c r="BV26" t="e">
        <f>AND(#REF!,"AAAAAE/7/0k=")</f>
        <v>#REF!</v>
      </c>
      <c r="BW26" t="e">
        <f>AND(#REF!,"AAAAAE/7/0o=")</f>
        <v>#REF!</v>
      </c>
      <c r="BX26" t="e">
        <f>IF(#REF!,"AAAAAE/7/0s=",0)</f>
        <v>#REF!</v>
      </c>
      <c r="BY26" t="e">
        <f>AND(#REF!,"AAAAAE/7/0w=")</f>
        <v>#REF!</v>
      </c>
      <c r="BZ26" t="e">
        <f>AND(#REF!,"AAAAAE/7/00=")</f>
        <v>#REF!</v>
      </c>
      <c r="CA26" t="e">
        <f>AND(#REF!,"AAAAAE/7/04=")</f>
        <v>#REF!</v>
      </c>
      <c r="CB26" t="e">
        <f>AND(#REF!,"AAAAAE/7/08=")</f>
        <v>#REF!</v>
      </c>
      <c r="CC26" t="e">
        <f>AND(#REF!,"AAAAAE/7/1A=")</f>
        <v>#REF!</v>
      </c>
      <c r="CD26" t="e">
        <f>AND(#REF!,"AAAAAE/7/1E=")</f>
        <v>#REF!</v>
      </c>
      <c r="CE26" t="e">
        <f>AND(#REF!,"AAAAAE/7/1I=")</f>
        <v>#REF!</v>
      </c>
      <c r="CF26" t="e">
        <f>AND(#REF!,"AAAAAE/7/1M=")</f>
        <v>#REF!</v>
      </c>
      <c r="CG26" t="e">
        <f>AND(#REF!,"AAAAAE/7/1Q=")</f>
        <v>#REF!</v>
      </c>
      <c r="CH26" t="e">
        <f>AND(#REF!,"AAAAAE/7/1U=")</f>
        <v>#REF!</v>
      </c>
      <c r="CI26" t="e">
        <f>AND(#REF!,"AAAAAE/7/1Y=")</f>
        <v>#REF!</v>
      </c>
      <c r="CJ26" t="e">
        <f>AND(#REF!,"AAAAAE/7/1c=")</f>
        <v>#REF!</v>
      </c>
      <c r="CK26" t="e">
        <f>AND(#REF!,"AAAAAE/7/1g=")</f>
        <v>#REF!</v>
      </c>
      <c r="CL26" t="e">
        <f>AND(#REF!,"AAAAAE/7/1k=")</f>
        <v>#REF!</v>
      </c>
      <c r="CM26" t="e">
        <f>AND(#REF!,"AAAAAE/7/1o=")</f>
        <v>#REF!</v>
      </c>
      <c r="CN26" t="e">
        <f>AND(#REF!,"AAAAAE/7/1s=")</f>
        <v>#REF!</v>
      </c>
      <c r="CO26" t="e">
        <f>AND(#REF!,"AAAAAE/7/1w=")</f>
        <v>#REF!</v>
      </c>
      <c r="CP26" t="e">
        <f>AND(#REF!,"AAAAAE/7/10=")</f>
        <v>#REF!</v>
      </c>
      <c r="CQ26" t="e">
        <f>IF(#REF!,"AAAAAE/7/14=",0)</f>
        <v>#REF!</v>
      </c>
      <c r="CR26" t="e">
        <f>AND(#REF!,"AAAAAE/7/18=")</f>
        <v>#REF!</v>
      </c>
      <c r="CS26" t="e">
        <f>AND(#REF!,"AAAAAE/7/2A=")</f>
        <v>#REF!</v>
      </c>
      <c r="CT26" t="e">
        <f>AND(#REF!,"AAAAAE/7/2E=")</f>
        <v>#REF!</v>
      </c>
      <c r="CU26" t="e">
        <f>AND(#REF!,"AAAAAE/7/2I=")</f>
        <v>#REF!</v>
      </c>
      <c r="CV26" t="e">
        <f>AND(#REF!,"AAAAAE/7/2M=")</f>
        <v>#REF!</v>
      </c>
      <c r="CW26" t="e">
        <f>AND(#REF!,"AAAAAE/7/2Q=")</f>
        <v>#REF!</v>
      </c>
      <c r="CX26" t="e">
        <f>AND(#REF!,"AAAAAE/7/2U=")</f>
        <v>#REF!</v>
      </c>
      <c r="CY26" t="e">
        <f>AND(#REF!,"AAAAAE/7/2Y=")</f>
        <v>#REF!</v>
      </c>
      <c r="CZ26" t="e">
        <f>AND(#REF!,"AAAAAE/7/2c=")</f>
        <v>#REF!</v>
      </c>
      <c r="DA26" t="e">
        <f>AND(#REF!,"AAAAAE/7/2g=")</f>
        <v>#REF!</v>
      </c>
      <c r="DB26" t="e">
        <f>AND(#REF!,"AAAAAE/7/2k=")</f>
        <v>#REF!</v>
      </c>
      <c r="DC26" t="e">
        <f>AND(#REF!,"AAAAAE/7/2o=")</f>
        <v>#REF!</v>
      </c>
      <c r="DD26" t="e">
        <f>AND(#REF!,"AAAAAE/7/2s=")</f>
        <v>#REF!</v>
      </c>
      <c r="DE26" t="e">
        <f>AND(#REF!,"AAAAAE/7/2w=")</f>
        <v>#REF!</v>
      </c>
      <c r="DF26" t="e">
        <f>AND(#REF!,"AAAAAE/7/20=")</f>
        <v>#REF!</v>
      </c>
      <c r="DG26" t="e">
        <f>AND(#REF!,"AAAAAE/7/24=")</f>
        <v>#REF!</v>
      </c>
      <c r="DH26" t="e">
        <f>AND(#REF!,"AAAAAE/7/28=")</f>
        <v>#REF!</v>
      </c>
      <c r="DI26" t="e">
        <f>AND(#REF!,"AAAAAE/7/3A=")</f>
        <v>#REF!</v>
      </c>
      <c r="DJ26" t="e">
        <f>IF(#REF!,"AAAAAE/7/3E=",0)</f>
        <v>#REF!</v>
      </c>
      <c r="DK26" t="e">
        <f>AND(#REF!,"AAAAAE/7/3I=")</f>
        <v>#REF!</v>
      </c>
      <c r="DL26" t="e">
        <f>AND(#REF!,"AAAAAE/7/3M=")</f>
        <v>#REF!</v>
      </c>
      <c r="DM26" t="e">
        <f>AND(#REF!,"AAAAAE/7/3Q=")</f>
        <v>#REF!</v>
      </c>
      <c r="DN26" t="e">
        <f>AND(#REF!,"AAAAAE/7/3U=")</f>
        <v>#REF!</v>
      </c>
      <c r="DO26" t="e">
        <f>AND(#REF!,"AAAAAE/7/3Y=")</f>
        <v>#REF!</v>
      </c>
      <c r="DP26" t="e">
        <f>AND(#REF!,"AAAAAE/7/3c=")</f>
        <v>#REF!</v>
      </c>
      <c r="DQ26" t="e">
        <f>AND(#REF!,"AAAAAE/7/3g=")</f>
        <v>#REF!</v>
      </c>
      <c r="DR26" t="e">
        <f>AND(#REF!,"AAAAAE/7/3k=")</f>
        <v>#REF!</v>
      </c>
      <c r="DS26" t="e">
        <f>AND(#REF!,"AAAAAE/7/3o=")</f>
        <v>#REF!</v>
      </c>
      <c r="DT26" t="e">
        <f>AND(#REF!,"AAAAAE/7/3s=")</f>
        <v>#REF!</v>
      </c>
      <c r="DU26" t="e">
        <f>AND(#REF!,"AAAAAE/7/3w=")</f>
        <v>#REF!</v>
      </c>
      <c r="DV26" t="e">
        <f>AND(#REF!,"AAAAAE/7/30=")</f>
        <v>#REF!</v>
      </c>
      <c r="DW26" t="e">
        <f>AND(#REF!,"AAAAAE/7/34=")</f>
        <v>#REF!</v>
      </c>
      <c r="DX26" t="e">
        <f>AND(#REF!,"AAAAAE/7/38=")</f>
        <v>#REF!</v>
      </c>
      <c r="DY26" t="e">
        <f>AND(#REF!,"AAAAAE/7/4A=")</f>
        <v>#REF!</v>
      </c>
      <c r="DZ26" t="e">
        <f>AND(#REF!,"AAAAAE/7/4E=")</f>
        <v>#REF!</v>
      </c>
      <c r="EA26" t="e">
        <f>AND(#REF!,"AAAAAE/7/4I=")</f>
        <v>#REF!</v>
      </c>
      <c r="EB26" t="e">
        <f>AND(#REF!,"AAAAAE/7/4M=")</f>
        <v>#REF!</v>
      </c>
      <c r="EC26" t="e">
        <f>IF(#REF!,"AAAAAE/7/4Q=",0)</f>
        <v>#REF!</v>
      </c>
      <c r="ED26" t="e">
        <f>AND(#REF!,"AAAAAE/7/4U=")</f>
        <v>#REF!</v>
      </c>
      <c r="EE26" t="e">
        <f>AND(#REF!,"AAAAAE/7/4Y=")</f>
        <v>#REF!</v>
      </c>
      <c r="EF26" t="e">
        <f>AND(#REF!,"AAAAAE/7/4c=")</f>
        <v>#REF!</v>
      </c>
      <c r="EG26" t="e">
        <f>AND(#REF!,"AAAAAE/7/4g=")</f>
        <v>#REF!</v>
      </c>
      <c r="EH26" t="e">
        <f>AND(#REF!,"AAAAAE/7/4k=")</f>
        <v>#REF!</v>
      </c>
      <c r="EI26" t="e">
        <f>AND(#REF!,"AAAAAE/7/4o=")</f>
        <v>#REF!</v>
      </c>
      <c r="EJ26" t="e">
        <f>AND(#REF!,"AAAAAE/7/4s=")</f>
        <v>#REF!</v>
      </c>
      <c r="EK26" t="e">
        <f>AND(#REF!,"AAAAAE/7/4w=")</f>
        <v>#REF!</v>
      </c>
      <c r="EL26" t="e">
        <f>AND(#REF!,"AAAAAE/7/40=")</f>
        <v>#REF!</v>
      </c>
      <c r="EM26" t="e">
        <f>AND(#REF!,"AAAAAE/7/44=")</f>
        <v>#REF!</v>
      </c>
      <c r="EN26" t="e">
        <f>AND(#REF!,"AAAAAE/7/48=")</f>
        <v>#REF!</v>
      </c>
      <c r="EO26" t="e">
        <f>AND(#REF!,"AAAAAE/7/5A=")</f>
        <v>#REF!</v>
      </c>
      <c r="EP26" t="e">
        <f>AND(#REF!,"AAAAAE/7/5E=")</f>
        <v>#REF!</v>
      </c>
      <c r="EQ26" t="e">
        <f>AND(#REF!,"AAAAAE/7/5I=")</f>
        <v>#REF!</v>
      </c>
      <c r="ER26" t="e">
        <f>AND(#REF!,"AAAAAE/7/5M=")</f>
        <v>#REF!</v>
      </c>
      <c r="ES26" t="e">
        <f>AND(#REF!,"AAAAAE/7/5Q=")</f>
        <v>#REF!</v>
      </c>
      <c r="ET26" t="e">
        <f>AND(#REF!,"AAAAAE/7/5U=")</f>
        <v>#REF!</v>
      </c>
      <c r="EU26" t="e">
        <f>AND(#REF!,"AAAAAE/7/5Y=")</f>
        <v>#REF!</v>
      </c>
      <c r="EV26" t="e">
        <f>IF(#REF!,"AAAAAE/7/5c=",0)</f>
        <v>#REF!</v>
      </c>
      <c r="EW26" t="e">
        <f>AND(#REF!,"AAAAAE/7/5g=")</f>
        <v>#REF!</v>
      </c>
      <c r="EX26" t="e">
        <f>AND(#REF!,"AAAAAE/7/5k=")</f>
        <v>#REF!</v>
      </c>
      <c r="EY26" t="e">
        <f>AND(#REF!,"AAAAAE/7/5o=")</f>
        <v>#REF!</v>
      </c>
      <c r="EZ26" t="e">
        <f>AND(#REF!,"AAAAAE/7/5s=")</f>
        <v>#REF!</v>
      </c>
      <c r="FA26" t="e">
        <f>AND(#REF!,"AAAAAE/7/5w=")</f>
        <v>#REF!</v>
      </c>
      <c r="FB26" t="e">
        <f>AND(#REF!,"AAAAAE/7/50=")</f>
        <v>#REF!</v>
      </c>
      <c r="FC26" t="e">
        <f>AND(#REF!,"AAAAAE/7/54=")</f>
        <v>#REF!</v>
      </c>
      <c r="FD26" t="e">
        <f>AND(#REF!,"AAAAAE/7/58=")</f>
        <v>#REF!</v>
      </c>
      <c r="FE26" t="e">
        <f>AND(#REF!,"AAAAAE/7/6A=")</f>
        <v>#REF!</v>
      </c>
      <c r="FF26" t="e">
        <f>AND(#REF!,"AAAAAE/7/6E=")</f>
        <v>#REF!</v>
      </c>
      <c r="FG26" t="e">
        <f>AND(#REF!,"AAAAAE/7/6I=")</f>
        <v>#REF!</v>
      </c>
      <c r="FH26" t="e">
        <f>AND(#REF!,"AAAAAE/7/6M=")</f>
        <v>#REF!</v>
      </c>
      <c r="FI26" t="e">
        <f>AND(#REF!,"AAAAAE/7/6Q=")</f>
        <v>#REF!</v>
      </c>
      <c r="FJ26" t="e">
        <f>AND(#REF!,"AAAAAE/7/6U=")</f>
        <v>#REF!</v>
      </c>
      <c r="FK26" t="e">
        <f>AND(#REF!,"AAAAAE/7/6Y=")</f>
        <v>#REF!</v>
      </c>
      <c r="FL26" t="e">
        <f>AND(#REF!,"AAAAAE/7/6c=")</f>
        <v>#REF!</v>
      </c>
      <c r="FM26" t="e">
        <f>AND(#REF!,"AAAAAE/7/6g=")</f>
        <v>#REF!</v>
      </c>
      <c r="FN26" t="e">
        <f>AND(#REF!,"AAAAAE/7/6k=")</f>
        <v>#REF!</v>
      </c>
      <c r="FO26" t="e">
        <f>IF(#REF!,"AAAAAE/7/6o=",0)</f>
        <v>#REF!</v>
      </c>
      <c r="FP26" t="e">
        <f>AND(#REF!,"AAAAAE/7/6s=")</f>
        <v>#REF!</v>
      </c>
      <c r="FQ26" t="e">
        <f>AND(#REF!,"AAAAAE/7/6w=")</f>
        <v>#REF!</v>
      </c>
      <c r="FR26" t="e">
        <f>AND(#REF!,"AAAAAE/7/60=")</f>
        <v>#REF!</v>
      </c>
      <c r="FS26" t="e">
        <f>AND(#REF!,"AAAAAE/7/64=")</f>
        <v>#REF!</v>
      </c>
      <c r="FT26" t="e">
        <f>AND(#REF!,"AAAAAE/7/68=")</f>
        <v>#REF!</v>
      </c>
      <c r="FU26" t="e">
        <f>AND(#REF!,"AAAAAE/7/7A=")</f>
        <v>#REF!</v>
      </c>
      <c r="FV26" t="e">
        <f>AND(#REF!,"AAAAAE/7/7E=")</f>
        <v>#REF!</v>
      </c>
      <c r="FW26" t="e">
        <f>AND(#REF!,"AAAAAE/7/7I=")</f>
        <v>#REF!</v>
      </c>
      <c r="FX26" t="e">
        <f>AND(#REF!,"AAAAAE/7/7M=")</f>
        <v>#REF!</v>
      </c>
      <c r="FY26" t="e">
        <f>AND(#REF!,"AAAAAE/7/7Q=")</f>
        <v>#REF!</v>
      </c>
      <c r="FZ26" t="e">
        <f>AND(#REF!,"AAAAAE/7/7U=")</f>
        <v>#REF!</v>
      </c>
      <c r="GA26" t="e">
        <f>AND(#REF!,"AAAAAE/7/7Y=")</f>
        <v>#REF!</v>
      </c>
      <c r="GB26" t="e">
        <f>AND(#REF!,"AAAAAE/7/7c=")</f>
        <v>#REF!</v>
      </c>
      <c r="GC26" t="e">
        <f>AND(#REF!,"AAAAAE/7/7g=")</f>
        <v>#REF!</v>
      </c>
      <c r="GD26" t="e">
        <f>AND(#REF!,"AAAAAE/7/7k=")</f>
        <v>#REF!</v>
      </c>
      <c r="GE26" t="e">
        <f>AND(#REF!,"AAAAAE/7/7o=")</f>
        <v>#REF!</v>
      </c>
      <c r="GF26" t="e">
        <f>AND(#REF!,"AAAAAE/7/7s=")</f>
        <v>#REF!</v>
      </c>
      <c r="GG26" t="e">
        <f>AND(#REF!,"AAAAAE/7/7w=")</f>
        <v>#REF!</v>
      </c>
      <c r="GH26" t="e">
        <f>IF(#REF!,"AAAAAE/7/70=",0)</f>
        <v>#REF!</v>
      </c>
      <c r="GI26" t="e">
        <f>AND(#REF!,"AAAAAE/7/74=")</f>
        <v>#REF!</v>
      </c>
      <c r="GJ26" t="e">
        <f>AND(#REF!,"AAAAAE/7/78=")</f>
        <v>#REF!</v>
      </c>
      <c r="GK26" t="e">
        <f>AND(#REF!,"AAAAAE/7/8A=")</f>
        <v>#REF!</v>
      </c>
      <c r="GL26" t="e">
        <f>AND(#REF!,"AAAAAE/7/8E=")</f>
        <v>#REF!</v>
      </c>
      <c r="GM26" t="e">
        <f>AND(#REF!,"AAAAAE/7/8I=")</f>
        <v>#REF!</v>
      </c>
      <c r="GN26" t="e">
        <f>AND(#REF!,"AAAAAE/7/8M=")</f>
        <v>#REF!</v>
      </c>
      <c r="GO26" t="e">
        <f>AND(#REF!,"AAAAAE/7/8Q=")</f>
        <v>#REF!</v>
      </c>
      <c r="GP26" t="e">
        <f>AND(#REF!,"AAAAAE/7/8U=")</f>
        <v>#REF!</v>
      </c>
      <c r="GQ26" t="e">
        <f>AND(#REF!,"AAAAAE/7/8Y=")</f>
        <v>#REF!</v>
      </c>
      <c r="GR26" t="e">
        <f>AND(#REF!,"AAAAAE/7/8c=")</f>
        <v>#REF!</v>
      </c>
      <c r="GS26" t="e">
        <f>AND(#REF!,"AAAAAE/7/8g=")</f>
        <v>#REF!</v>
      </c>
      <c r="GT26" t="e">
        <f>AND(#REF!,"AAAAAE/7/8k=")</f>
        <v>#REF!</v>
      </c>
      <c r="GU26" t="e">
        <f>AND(#REF!,"AAAAAE/7/8o=")</f>
        <v>#REF!</v>
      </c>
      <c r="GV26" t="e">
        <f>AND(#REF!,"AAAAAE/7/8s=")</f>
        <v>#REF!</v>
      </c>
      <c r="GW26" t="e">
        <f>AND(#REF!,"AAAAAE/7/8w=")</f>
        <v>#REF!</v>
      </c>
      <c r="GX26" t="e">
        <f>AND(#REF!,"AAAAAE/7/80=")</f>
        <v>#REF!</v>
      </c>
      <c r="GY26" t="e">
        <f>AND(#REF!,"AAAAAE/7/84=")</f>
        <v>#REF!</v>
      </c>
      <c r="GZ26" t="e">
        <f>AND(#REF!,"AAAAAE/7/88=")</f>
        <v>#REF!</v>
      </c>
      <c r="HA26" t="e">
        <f>IF(#REF!,"AAAAAE/7/9A=",0)</f>
        <v>#REF!</v>
      </c>
      <c r="HB26" t="e">
        <f>AND(#REF!,"AAAAAE/7/9E=")</f>
        <v>#REF!</v>
      </c>
      <c r="HC26" t="e">
        <f>AND(#REF!,"AAAAAE/7/9I=")</f>
        <v>#REF!</v>
      </c>
      <c r="HD26" t="e">
        <f>AND(#REF!,"AAAAAE/7/9M=")</f>
        <v>#REF!</v>
      </c>
      <c r="HE26" t="e">
        <f>AND(#REF!,"AAAAAE/7/9Q=")</f>
        <v>#REF!</v>
      </c>
      <c r="HF26" t="e">
        <f>AND(#REF!,"AAAAAE/7/9U=")</f>
        <v>#REF!</v>
      </c>
      <c r="HG26" t="e">
        <f>AND(#REF!,"AAAAAE/7/9Y=")</f>
        <v>#REF!</v>
      </c>
      <c r="HH26" t="e">
        <f>AND(#REF!,"AAAAAE/7/9c=")</f>
        <v>#REF!</v>
      </c>
      <c r="HI26" t="e">
        <f>AND(#REF!,"AAAAAE/7/9g=")</f>
        <v>#REF!</v>
      </c>
      <c r="HJ26" t="e">
        <f>AND(#REF!,"AAAAAE/7/9k=")</f>
        <v>#REF!</v>
      </c>
      <c r="HK26" t="e">
        <f>AND(#REF!,"AAAAAE/7/9o=")</f>
        <v>#REF!</v>
      </c>
      <c r="HL26" t="e">
        <f>AND(#REF!,"AAAAAE/7/9s=")</f>
        <v>#REF!</v>
      </c>
      <c r="HM26" t="e">
        <f>AND(#REF!,"AAAAAE/7/9w=")</f>
        <v>#REF!</v>
      </c>
      <c r="HN26" t="e">
        <f>AND(#REF!,"AAAAAE/7/90=")</f>
        <v>#REF!</v>
      </c>
      <c r="HO26" t="e">
        <f>AND(#REF!,"AAAAAE/7/94=")</f>
        <v>#REF!</v>
      </c>
      <c r="HP26" t="e">
        <f>AND(#REF!,"AAAAAE/7/98=")</f>
        <v>#REF!</v>
      </c>
      <c r="HQ26" t="e">
        <f>AND(#REF!,"AAAAAE/7/+A=")</f>
        <v>#REF!</v>
      </c>
      <c r="HR26" t="e">
        <f>AND(#REF!,"AAAAAE/7/+E=")</f>
        <v>#REF!</v>
      </c>
      <c r="HS26" t="e">
        <f>AND(#REF!,"AAAAAE/7/+I=")</f>
        <v>#REF!</v>
      </c>
      <c r="HT26" t="e">
        <f>IF(#REF!,"AAAAAE/7/+M=",0)</f>
        <v>#REF!</v>
      </c>
      <c r="HU26" t="e">
        <f>AND(#REF!,"AAAAAE/7/+Q=")</f>
        <v>#REF!</v>
      </c>
      <c r="HV26" t="e">
        <f>AND(#REF!,"AAAAAE/7/+U=")</f>
        <v>#REF!</v>
      </c>
      <c r="HW26" t="e">
        <f>AND(#REF!,"AAAAAE/7/+Y=")</f>
        <v>#REF!</v>
      </c>
      <c r="HX26" t="e">
        <f>AND(#REF!,"AAAAAE/7/+c=")</f>
        <v>#REF!</v>
      </c>
      <c r="HY26" t="e">
        <f>AND(#REF!,"AAAAAE/7/+g=")</f>
        <v>#REF!</v>
      </c>
      <c r="HZ26" t="e">
        <f>AND(#REF!,"AAAAAE/7/+k=")</f>
        <v>#REF!</v>
      </c>
      <c r="IA26" t="e">
        <f>AND(#REF!,"AAAAAE/7/+o=")</f>
        <v>#REF!</v>
      </c>
      <c r="IB26" t="e">
        <f>AND(#REF!,"AAAAAE/7/+s=")</f>
        <v>#REF!</v>
      </c>
      <c r="IC26" t="e">
        <f>AND(#REF!,"AAAAAE/7/+w=")</f>
        <v>#REF!</v>
      </c>
      <c r="ID26" t="e">
        <f>AND(#REF!,"AAAAAE/7/+0=")</f>
        <v>#REF!</v>
      </c>
      <c r="IE26" t="e">
        <f>AND(#REF!,"AAAAAE/7/+4=")</f>
        <v>#REF!</v>
      </c>
      <c r="IF26" t="e">
        <f>AND(#REF!,"AAAAAE/7/+8=")</f>
        <v>#REF!</v>
      </c>
      <c r="IG26" t="e">
        <f>AND(#REF!,"AAAAAE/7//A=")</f>
        <v>#REF!</v>
      </c>
      <c r="IH26" t="e">
        <f>AND(#REF!,"AAAAAE/7//E=")</f>
        <v>#REF!</v>
      </c>
      <c r="II26" t="e">
        <f>AND(#REF!,"AAAAAE/7//I=")</f>
        <v>#REF!</v>
      </c>
      <c r="IJ26" t="e">
        <f>AND(#REF!,"AAAAAE/7//M=")</f>
        <v>#REF!</v>
      </c>
      <c r="IK26" t="e">
        <f>AND(#REF!,"AAAAAE/7//Q=")</f>
        <v>#REF!</v>
      </c>
      <c r="IL26" t="e">
        <f>AND(#REF!,"AAAAAE/7//U=")</f>
        <v>#REF!</v>
      </c>
      <c r="IM26" t="e">
        <f>IF(#REF!,"AAAAAE/7//Y=",0)</f>
        <v>#REF!</v>
      </c>
      <c r="IN26" t="e">
        <f>AND(#REF!,"AAAAAE/7//c=")</f>
        <v>#REF!</v>
      </c>
      <c r="IO26" t="e">
        <f>AND(#REF!,"AAAAAE/7//g=")</f>
        <v>#REF!</v>
      </c>
      <c r="IP26" t="e">
        <f>AND(#REF!,"AAAAAE/7//k=")</f>
        <v>#REF!</v>
      </c>
      <c r="IQ26" t="e">
        <f>AND(#REF!,"AAAAAE/7//o=")</f>
        <v>#REF!</v>
      </c>
      <c r="IR26" t="e">
        <f>AND(#REF!,"AAAAAE/7//s=")</f>
        <v>#REF!</v>
      </c>
      <c r="IS26" t="e">
        <f>AND(#REF!,"AAAAAE/7//w=")</f>
        <v>#REF!</v>
      </c>
      <c r="IT26" t="e">
        <f>AND(#REF!,"AAAAAE/7//0=")</f>
        <v>#REF!</v>
      </c>
      <c r="IU26" t="e">
        <f>AND(#REF!,"AAAAAE/7//4=")</f>
        <v>#REF!</v>
      </c>
      <c r="IV26" t="e">
        <f>AND(#REF!,"AAAAAE/7//8=")</f>
        <v>#REF!</v>
      </c>
    </row>
    <row r="27" spans="1:256" x14ac:dyDescent="0.15">
      <c r="A27" t="e">
        <f>AND(#REF!,"AAAAAFvPfwA=")</f>
        <v>#REF!</v>
      </c>
      <c r="B27" t="e">
        <f>AND(#REF!,"AAAAAFvPfwE=")</f>
        <v>#REF!</v>
      </c>
      <c r="C27" t="e">
        <f>AND(#REF!,"AAAAAFvPfwI=")</f>
        <v>#REF!</v>
      </c>
      <c r="D27" t="e">
        <f>AND(#REF!,"AAAAAFvPfwM=")</f>
        <v>#REF!</v>
      </c>
      <c r="E27" t="e">
        <f>AND(#REF!,"AAAAAFvPfwQ=")</f>
        <v>#REF!</v>
      </c>
      <c r="F27" t="e">
        <f>AND(#REF!,"AAAAAFvPfwU=")</f>
        <v>#REF!</v>
      </c>
      <c r="G27" t="e">
        <f>AND(#REF!,"AAAAAFvPfwY=")</f>
        <v>#REF!</v>
      </c>
      <c r="H27" t="e">
        <f>AND(#REF!,"AAAAAFvPfwc=")</f>
        <v>#REF!</v>
      </c>
      <c r="I27" t="e">
        <f>AND(#REF!,"AAAAAFvPfwg=")</f>
        <v>#REF!</v>
      </c>
      <c r="J27" t="e">
        <f>IF(#REF!,"AAAAAFvPfwk=",0)</f>
        <v>#REF!</v>
      </c>
      <c r="K27" t="e">
        <f>AND(#REF!,"AAAAAFvPfwo=")</f>
        <v>#REF!</v>
      </c>
      <c r="L27" t="e">
        <f>AND(#REF!,"AAAAAFvPfws=")</f>
        <v>#REF!</v>
      </c>
      <c r="M27" t="e">
        <f>AND(#REF!,"AAAAAFvPfww=")</f>
        <v>#REF!</v>
      </c>
      <c r="N27" t="e">
        <f>AND(#REF!,"AAAAAFvPfw0=")</f>
        <v>#REF!</v>
      </c>
      <c r="O27" t="e">
        <f>AND(#REF!,"AAAAAFvPfw4=")</f>
        <v>#REF!</v>
      </c>
      <c r="P27" t="e">
        <f>AND(#REF!,"AAAAAFvPfw8=")</f>
        <v>#REF!</v>
      </c>
      <c r="Q27" t="e">
        <f>AND(#REF!,"AAAAAFvPfxA=")</f>
        <v>#REF!</v>
      </c>
      <c r="R27" t="e">
        <f>AND(#REF!,"AAAAAFvPfxE=")</f>
        <v>#REF!</v>
      </c>
      <c r="S27" t="e">
        <f>AND(#REF!,"AAAAAFvPfxI=")</f>
        <v>#REF!</v>
      </c>
      <c r="T27" t="e">
        <f>AND(#REF!,"AAAAAFvPfxM=")</f>
        <v>#REF!</v>
      </c>
      <c r="U27" t="e">
        <f>AND(#REF!,"AAAAAFvPfxQ=")</f>
        <v>#REF!</v>
      </c>
      <c r="V27" t="e">
        <f>AND(#REF!,"AAAAAFvPfxU=")</f>
        <v>#REF!</v>
      </c>
      <c r="W27" t="e">
        <f>AND(#REF!,"AAAAAFvPfxY=")</f>
        <v>#REF!</v>
      </c>
      <c r="X27" t="e">
        <f>AND(#REF!,"AAAAAFvPfxc=")</f>
        <v>#REF!</v>
      </c>
      <c r="Y27" t="e">
        <f>AND(#REF!,"AAAAAFvPfxg=")</f>
        <v>#REF!</v>
      </c>
      <c r="Z27" t="e">
        <f>AND(#REF!,"AAAAAFvPfxk=")</f>
        <v>#REF!</v>
      </c>
      <c r="AA27" t="e">
        <f>AND(#REF!,"AAAAAFvPfxo=")</f>
        <v>#REF!</v>
      </c>
      <c r="AB27" t="e">
        <f>AND(#REF!,"AAAAAFvPfxs=")</f>
        <v>#REF!</v>
      </c>
      <c r="AC27" t="e">
        <f>IF(#REF!,"AAAAAFvPfxw=",0)</f>
        <v>#REF!</v>
      </c>
      <c r="AD27" t="e">
        <f>AND(#REF!,"AAAAAFvPfx0=")</f>
        <v>#REF!</v>
      </c>
      <c r="AE27" t="e">
        <f>AND(#REF!,"AAAAAFvPfx4=")</f>
        <v>#REF!</v>
      </c>
      <c r="AF27" t="e">
        <f>AND(#REF!,"AAAAAFvPfx8=")</f>
        <v>#REF!</v>
      </c>
      <c r="AG27" t="e">
        <f>AND(#REF!,"AAAAAFvPfyA=")</f>
        <v>#REF!</v>
      </c>
      <c r="AH27" t="e">
        <f>AND(#REF!,"AAAAAFvPfyE=")</f>
        <v>#REF!</v>
      </c>
      <c r="AI27" t="e">
        <f>AND(#REF!,"AAAAAFvPfyI=")</f>
        <v>#REF!</v>
      </c>
      <c r="AJ27" t="e">
        <f>AND(#REF!,"AAAAAFvPfyM=")</f>
        <v>#REF!</v>
      </c>
      <c r="AK27" t="e">
        <f>AND(#REF!,"AAAAAFvPfyQ=")</f>
        <v>#REF!</v>
      </c>
      <c r="AL27" t="e">
        <f>AND(#REF!,"AAAAAFvPfyU=")</f>
        <v>#REF!</v>
      </c>
      <c r="AM27" t="e">
        <f>AND(#REF!,"AAAAAFvPfyY=")</f>
        <v>#REF!</v>
      </c>
      <c r="AN27" t="e">
        <f>AND(#REF!,"AAAAAFvPfyc=")</f>
        <v>#REF!</v>
      </c>
      <c r="AO27" t="e">
        <f>AND(#REF!,"AAAAAFvPfyg=")</f>
        <v>#REF!</v>
      </c>
      <c r="AP27" t="e">
        <f>AND(#REF!,"AAAAAFvPfyk=")</f>
        <v>#REF!</v>
      </c>
      <c r="AQ27" t="e">
        <f>AND(#REF!,"AAAAAFvPfyo=")</f>
        <v>#REF!</v>
      </c>
      <c r="AR27" t="e">
        <f>AND(#REF!,"AAAAAFvPfys=")</f>
        <v>#REF!</v>
      </c>
      <c r="AS27" t="e">
        <f>AND(#REF!,"AAAAAFvPfyw=")</f>
        <v>#REF!</v>
      </c>
      <c r="AT27" t="e">
        <f>AND(#REF!,"AAAAAFvPfy0=")</f>
        <v>#REF!</v>
      </c>
      <c r="AU27" t="e">
        <f>AND(#REF!,"AAAAAFvPfy4=")</f>
        <v>#REF!</v>
      </c>
      <c r="AV27" t="e">
        <f>IF(#REF!,"AAAAAFvPfy8=",0)</f>
        <v>#REF!</v>
      </c>
      <c r="AW27" t="e">
        <f>AND(#REF!,"AAAAAFvPfzA=")</f>
        <v>#REF!</v>
      </c>
      <c r="AX27" t="e">
        <f>AND(#REF!,"AAAAAFvPfzE=")</f>
        <v>#REF!</v>
      </c>
      <c r="AY27" t="e">
        <f>AND(#REF!,"AAAAAFvPfzI=")</f>
        <v>#REF!</v>
      </c>
      <c r="AZ27" t="e">
        <f>AND(#REF!,"AAAAAFvPfzM=")</f>
        <v>#REF!</v>
      </c>
      <c r="BA27" t="e">
        <f>AND(#REF!,"AAAAAFvPfzQ=")</f>
        <v>#REF!</v>
      </c>
      <c r="BB27" t="e">
        <f>AND(#REF!,"AAAAAFvPfzU=")</f>
        <v>#REF!</v>
      </c>
      <c r="BC27" t="e">
        <f>AND(#REF!,"AAAAAFvPfzY=")</f>
        <v>#REF!</v>
      </c>
      <c r="BD27" t="e">
        <f>AND(#REF!,"AAAAAFvPfzc=")</f>
        <v>#REF!</v>
      </c>
      <c r="BE27" t="e">
        <f>AND(#REF!,"AAAAAFvPfzg=")</f>
        <v>#REF!</v>
      </c>
      <c r="BF27" t="e">
        <f>AND(#REF!,"AAAAAFvPfzk=")</f>
        <v>#REF!</v>
      </c>
      <c r="BG27" t="e">
        <f>AND(#REF!,"AAAAAFvPfzo=")</f>
        <v>#REF!</v>
      </c>
      <c r="BH27" t="e">
        <f>AND(#REF!,"AAAAAFvPfzs=")</f>
        <v>#REF!</v>
      </c>
      <c r="BI27" t="e">
        <f>AND(#REF!,"AAAAAFvPfzw=")</f>
        <v>#REF!</v>
      </c>
      <c r="BJ27" t="e">
        <f>AND(#REF!,"AAAAAFvPfz0=")</f>
        <v>#REF!</v>
      </c>
      <c r="BK27" t="e">
        <f>AND(#REF!,"AAAAAFvPfz4=")</f>
        <v>#REF!</v>
      </c>
      <c r="BL27" t="e">
        <f>AND(#REF!,"AAAAAFvPfz8=")</f>
        <v>#REF!</v>
      </c>
      <c r="BM27" t="e">
        <f>AND(#REF!,"AAAAAFvPf0A=")</f>
        <v>#REF!</v>
      </c>
      <c r="BN27" t="e">
        <f>AND(#REF!,"AAAAAFvPf0E=")</f>
        <v>#REF!</v>
      </c>
      <c r="BO27" t="e">
        <f>IF(#REF!,"AAAAAFvPf0I=",0)</f>
        <v>#REF!</v>
      </c>
      <c r="BP27" t="e">
        <f>AND(#REF!,"AAAAAFvPf0M=")</f>
        <v>#REF!</v>
      </c>
      <c r="BQ27" t="e">
        <f>AND(#REF!,"AAAAAFvPf0Q=")</f>
        <v>#REF!</v>
      </c>
      <c r="BR27" t="e">
        <f>AND(#REF!,"AAAAAFvPf0U=")</f>
        <v>#REF!</v>
      </c>
      <c r="BS27" t="e">
        <f>AND(#REF!,"AAAAAFvPf0Y=")</f>
        <v>#REF!</v>
      </c>
      <c r="BT27" t="e">
        <f>AND(#REF!,"AAAAAFvPf0c=")</f>
        <v>#REF!</v>
      </c>
      <c r="BU27" t="e">
        <f>AND(#REF!,"AAAAAFvPf0g=")</f>
        <v>#REF!</v>
      </c>
      <c r="BV27" t="e">
        <f>AND(#REF!,"AAAAAFvPf0k=")</f>
        <v>#REF!</v>
      </c>
      <c r="BW27" t="e">
        <f>AND(#REF!,"AAAAAFvPf0o=")</f>
        <v>#REF!</v>
      </c>
      <c r="BX27" t="e">
        <f>AND(#REF!,"AAAAAFvPf0s=")</f>
        <v>#REF!</v>
      </c>
      <c r="BY27" t="e">
        <f>AND(#REF!,"AAAAAFvPf0w=")</f>
        <v>#REF!</v>
      </c>
      <c r="BZ27" t="e">
        <f>AND(#REF!,"AAAAAFvPf00=")</f>
        <v>#REF!</v>
      </c>
      <c r="CA27" t="e">
        <f>AND(#REF!,"AAAAAFvPf04=")</f>
        <v>#REF!</v>
      </c>
      <c r="CB27" t="e">
        <f>AND(#REF!,"AAAAAFvPf08=")</f>
        <v>#REF!</v>
      </c>
      <c r="CC27" t="e">
        <f>AND(#REF!,"AAAAAFvPf1A=")</f>
        <v>#REF!</v>
      </c>
      <c r="CD27" t="e">
        <f>AND(#REF!,"AAAAAFvPf1E=")</f>
        <v>#REF!</v>
      </c>
      <c r="CE27" t="e">
        <f>AND(#REF!,"AAAAAFvPf1I=")</f>
        <v>#REF!</v>
      </c>
      <c r="CF27" t="e">
        <f>AND(#REF!,"AAAAAFvPf1M=")</f>
        <v>#REF!</v>
      </c>
      <c r="CG27" t="e">
        <f>AND(#REF!,"AAAAAFvPf1Q=")</f>
        <v>#REF!</v>
      </c>
      <c r="CH27" t="e">
        <f>IF(#REF!,"AAAAAFvPf1U=",0)</f>
        <v>#REF!</v>
      </c>
      <c r="CI27" t="e">
        <f>AND(#REF!,"AAAAAFvPf1Y=")</f>
        <v>#REF!</v>
      </c>
      <c r="CJ27" t="e">
        <f>AND(#REF!,"AAAAAFvPf1c=")</f>
        <v>#REF!</v>
      </c>
      <c r="CK27" t="e">
        <f>AND(#REF!,"AAAAAFvPf1g=")</f>
        <v>#REF!</v>
      </c>
      <c r="CL27" t="e">
        <f>AND(#REF!,"AAAAAFvPf1k=")</f>
        <v>#REF!</v>
      </c>
      <c r="CM27" t="e">
        <f>AND(#REF!,"AAAAAFvPf1o=")</f>
        <v>#REF!</v>
      </c>
      <c r="CN27" t="e">
        <f>AND(#REF!,"AAAAAFvPf1s=")</f>
        <v>#REF!</v>
      </c>
      <c r="CO27" t="e">
        <f>AND(#REF!,"AAAAAFvPf1w=")</f>
        <v>#REF!</v>
      </c>
      <c r="CP27" t="e">
        <f>AND(#REF!,"AAAAAFvPf10=")</f>
        <v>#REF!</v>
      </c>
      <c r="CQ27" t="e">
        <f>AND(#REF!,"AAAAAFvPf14=")</f>
        <v>#REF!</v>
      </c>
      <c r="CR27" t="e">
        <f>AND(#REF!,"AAAAAFvPf18=")</f>
        <v>#REF!</v>
      </c>
      <c r="CS27" t="e">
        <f>AND(#REF!,"AAAAAFvPf2A=")</f>
        <v>#REF!</v>
      </c>
      <c r="CT27" t="e">
        <f>AND(#REF!,"AAAAAFvPf2E=")</f>
        <v>#REF!</v>
      </c>
      <c r="CU27" t="e">
        <f>AND(#REF!,"AAAAAFvPf2I=")</f>
        <v>#REF!</v>
      </c>
      <c r="CV27" t="e">
        <f>AND(#REF!,"AAAAAFvPf2M=")</f>
        <v>#REF!</v>
      </c>
      <c r="CW27" t="e">
        <f>AND(#REF!,"AAAAAFvPf2Q=")</f>
        <v>#REF!</v>
      </c>
      <c r="CX27" t="e">
        <f>AND(#REF!,"AAAAAFvPf2U=")</f>
        <v>#REF!</v>
      </c>
      <c r="CY27" t="e">
        <f>AND(#REF!,"AAAAAFvPf2Y=")</f>
        <v>#REF!</v>
      </c>
      <c r="CZ27" t="e">
        <f>AND(#REF!,"AAAAAFvPf2c=")</f>
        <v>#REF!</v>
      </c>
      <c r="DA27" t="e">
        <f>IF(#REF!,"AAAAAFvPf2g=",0)</f>
        <v>#REF!</v>
      </c>
      <c r="DB27" t="e">
        <f>AND(#REF!,"AAAAAFvPf2k=")</f>
        <v>#REF!</v>
      </c>
      <c r="DC27" t="e">
        <f>AND(#REF!,"AAAAAFvPf2o=")</f>
        <v>#REF!</v>
      </c>
      <c r="DD27" t="e">
        <f>AND(#REF!,"AAAAAFvPf2s=")</f>
        <v>#REF!</v>
      </c>
      <c r="DE27" t="e">
        <f>AND(#REF!,"AAAAAFvPf2w=")</f>
        <v>#REF!</v>
      </c>
      <c r="DF27" t="e">
        <f>AND(#REF!,"AAAAAFvPf20=")</f>
        <v>#REF!</v>
      </c>
      <c r="DG27" t="e">
        <f>AND(#REF!,"AAAAAFvPf24=")</f>
        <v>#REF!</v>
      </c>
      <c r="DH27" t="e">
        <f>AND(#REF!,"AAAAAFvPf28=")</f>
        <v>#REF!</v>
      </c>
      <c r="DI27" t="e">
        <f>AND(#REF!,"AAAAAFvPf3A=")</f>
        <v>#REF!</v>
      </c>
      <c r="DJ27" t="e">
        <f>AND(#REF!,"AAAAAFvPf3E=")</f>
        <v>#REF!</v>
      </c>
      <c r="DK27" t="e">
        <f>AND(#REF!,"AAAAAFvPf3I=")</f>
        <v>#REF!</v>
      </c>
      <c r="DL27" t="e">
        <f>AND(#REF!,"AAAAAFvPf3M=")</f>
        <v>#REF!</v>
      </c>
      <c r="DM27" t="e">
        <f>AND(#REF!,"AAAAAFvPf3Q=")</f>
        <v>#REF!</v>
      </c>
      <c r="DN27" t="e">
        <f>AND(#REF!,"AAAAAFvPf3U=")</f>
        <v>#REF!</v>
      </c>
      <c r="DO27" t="e">
        <f>AND(#REF!,"AAAAAFvPf3Y=")</f>
        <v>#REF!</v>
      </c>
      <c r="DP27" t="e">
        <f>AND(#REF!,"AAAAAFvPf3c=")</f>
        <v>#REF!</v>
      </c>
      <c r="DQ27" t="e">
        <f>AND(#REF!,"AAAAAFvPf3g=")</f>
        <v>#REF!</v>
      </c>
      <c r="DR27" t="e">
        <f>AND(#REF!,"AAAAAFvPf3k=")</f>
        <v>#REF!</v>
      </c>
      <c r="DS27" t="e">
        <f>AND(#REF!,"AAAAAFvPf3o=")</f>
        <v>#REF!</v>
      </c>
      <c r="DT27" t="e">
        <f>IF(#REF!,"AAAAAFvPf3s=",0)</f>
        <v>#REF!</v>
      </c>
      <c r="DU27" t="e">
        <f>AND(#REF!,"AAAAAFvPf3w=")</f>
        <v>#REF!</v>
      </c>
      <c r="DV27" t="e">
        <f>AND(#REF!,"AAAAAFvPf30=")</f>
        <v>#REF!</v>
      </c>
      <c r="DW27" t="e">
        <f>AND(#REF!,"AAAAAFvPf34=")</f>
        <v>#REF!</v>
      </c>
      <c r="DX27" t="e">
        <f>AND(#REF!,"AAAAAFvPf38=")</f>
        <v>#REF!</v>
      </c>
      <c r="DY27" t="e">
        <f>AND(#REF!,"AAAAAFvPf4A=")</f>
        <v>#REF!</v>
      </c>
      <c r="DZ27" t="e">
        <f>AND(#REF!,"AAAAAFvPf4E=")</f>
        <v>#REF!</v>
      </c>
      <c r="EA27" t="e">
        <f>AND(#REF!,"AAAAAFvPf4I=")</f>
        <v>#REF!</v>
      </c>
      <c r="EB27" t="e">
        <f>AND(#REF!,"AAAAAFvPf4M=")</f>
        <v>#REF!</v>
      </c>
      <c r="EC27" t="e">
        <f>AND(#REF!,"AAAAAFvPf4Q=")</f>
        <v>#REF!</v>
      </c>
      <c r="ED27" t="e">
        <f>AND(#REF!,"AAAAAFvPf4U=")</f>
        <v>#REF!</v>
      </c>
      <c r="EE27" t="e">
        <f>AND(#REF!,"AAAAAFvPf4Y=")</f>
        <v>#REF!</v>
      </c>
      <c r="EF27" t="e">
        <f>AND(#REF!,"AAAAAFvPf4c=")</f>
        <v>#REF!</v>
      </c>
      <c r="EG27" t="e">
        <f>AND(#REF!,"AAAAAFvPf4g=")</f>
        <v>#REF!</v>
      </c>
      <c r="EH27" t="e">
        <f>AND(#REF!,"AAAAAFvPf4k=")</f>
        <v>#REF!</v>
      </c>
      <c r="EI27" t="e">
        <f>AND(#REF!,"AAAAAFvPf4o=")</f>
        <v>#REF!</v>
      </c>
      <c r="EJ27" t="e">
        <f>AND(#REF!,"AAAAAFvPf4s=")</f>
        <v>#REF!</v>
      </c>
      <c r="EK27" t="e">
        <f>AND(#REF!,"AAAAAFvPf4w=")</f>
        <v>#REF!</v>
      </c>
      <c r="EL27" t="e">
        <f>AND(#REF!,"AAAAAFvPf40=")</f>
        <v>#REF!</v>
      </c>
      <c r="EM27" t="e">
        <f>IF(#REF!,"AAAAAFvPf44=",0)</f>
        <v>#REF!</v>
      </c>
      <c r="EN27" t="e">
        <f>AND(#REF!,"AAAAAFvPf48=")</f>
        <v>#REF!</v>
      </c>
      <c r="EO27" t="e">
        <f>AND(#REF!,"AAAAAFvPf5A=")</f>
        <v>#REF!</v>
      </c>
      <c r="EP27" t="e">
        <f>AND(#REF!,"AAAAAFvPf5E=")</f>
        <v>#REF!</v>
      </c>
      <c r="EQ27" t="e">
        <f>AND(#REF!,"AAAAAFvPf5I=")</f>
        <v>#REF!</v>
      </c>
      <c r="ER27" t="e">
        <f>AND(#REF!,"AAAAAFvPf5M=")</f>
        <v>#REF!</v>
      </c>
      <c r="ES27" t="e">
        <f>AND(#REF!,"AAAAAFvPf5Q=")</f>
        <v>#REF!</v>
      </c>
      <c r="ET27" t="e">
        <f>AND(#REF!,"AAAAAFvPf5U=")</f>
        <v>#REF!</v>
      </c>
      <c r="EU27" t="e">
        <f>AND(#REF!,"AAAAAFvPf5Y=")</f>
        <v>#REF!</v>
      </c>
      <c r="EV27" t="e">
        <f>AND(#REF!,"AAAAAFvPf5c=")</f>
        <v>#REF!</v>
      </c>
      <c r="EW27" t="e">
        <f>AND(#REF!,"AAAAAFvPf5g=")</f>
        <v>#REF!</v>
      </c>
      <c r="EX27" t="e">
        <f>AND(#REF!,"AAAAAFvPf5k=")</f>
        <v>#REF!</v>
      </c>
      <c r="EY27" t="e">
        <f>AND(#REF!,"AAAAAFvPf5o=")</f>
        <v>#REF!</v>
      </c>
      <c r="EZ27" t="e">
        <f>AND(#REF!,"AAAAAFvPf5s=")</f>
        <v>#REF!</v>
      </c>
      <c r="FA27" t="e">
        <f>AND(#REF!,"AAAAAFvPf5w=")</f>
        <v>#REF!</v>
      </c>
      <c r="FB27" t="e">
        <f>AND(#REF!,"AAAAAFvPf50=")</f>
        <v>#REF!</v>
      </c>
      <c r="FC27" t="e">
        <f>AND(#REF!,"AAAAAFvPf54=")</f>
        <v>#REF!</v>
      </c>
      <c r="FD27" t="e">
        <f>AND(#REF!,"AAAAAFvPf58=")</f>
        <v>#REF!</v>
      </c>
      <c r="FE27" t="e">
        <f>AND(#REF!,"AAAAAFvPf6A=")</f>
        <v>#REF!</v>
      </c>
      <c r="FF27" t="e">
        <f>IF(#REF!,"AAAAAFvPf6E=",0)</f>
        <v>#REF!</v>
      </c>
      <c r="FG27" t="e">
        <f>AND(#REF!,"AAAAAFvPf6I=")</f>
        <v>#REF!</v>
      </c>
      <c r="FH27" t="e">
        <f>AND(#REF!,"AAAAAFvPf6M=")</f>
        <v>#REF!</v>
      </c>
      <c r="FI27" t="e">
        <f>AND(#REF!,"AAAAAFvPf6Q=")</f>
        <v>#REF!</v>
      </c>
      <c r="FJ27" t="e">
        <f>AND(#REF!,"AAAAAFvPf6U=")</f>
        <v>#REF!</v>
      </c>
      <c r="FK27" t="e">
        <f>AND(#REF!,"AAAAAFvPf6Y=")</f>
        <v>#REF!</v>
      </c>
      <c r="FL27" t="e">
        <f>AND(#REF!,"AAAAAFvPf6c=")</f>
        <v>#REF!</v>
      </c>
      <c r="FM27" t="e">
        <f>AND(#REF!,"AAAAAFvPf6g=")</f>
        <v>#REF!</v>
      </c>
      <c r="FN27" t="e">
        <f>AND(#REF!,"AAAAAFvPf6k=")</f>
        <v>#REF!</v>
      </c>
      <c r="FO27" t="e">
        <f>AND(#REF!,"AAAAAFvPf6o=")</f>
        <v>#REF!</v>
      </c>
      <c r="FP27" t="e">
        <f>AND(#REF!,"AAAAAFvPf6s=")</f>
        <v>#REF!</v>
      </c>
      <c r="FQ27" t="e">
        <f>AND(#REF!,"AAAAAFvPf6w=")</f>
        <v>#REF!</v>
      </c>
      <c r="FR27" t="e">
        <f>AND(#REF!,"AAAAAFvPf60=")</f>
        <v>#REF!</v>
      </c>
      <c r="FS27" t="e">
        <f>AND(#REF!,"AAAAAFvPf64=")</f>
        <v>#REF!</v>
      </c>
      <c r="FT27" t="e">
        <f>AND(#REF!,"AAAAAFvPf68=")</f>
        <v>#REF!</v>
      </c>
      <c r="FU27" t="e">
        <f>AND(#REF!,"AAAAAFvPf7A=")</f>
        <v>#REF!</v>
      </c>
      <c r="FV27" t="e">
        <f>AND(#REF!,"AAAAAFvPf7E=")</f>
        <v>#REF!</v>
      </c>
      <c r="FW27" t="e">
        <f>AND(#REF!,"AAAAAFvPf7I=")</f>
        <v>#REF!</v>
      </c>
      <c r="FX27" t="e">
        <f>AND(#REF!,"AAAAAFvPf7M=")</f>
        <v>#REF!</v>
      </c>
      <c r="FY27" t="e">
        <f>IF(#REF!,"AAAAAFvPf7Q=",0)</f>
        <v>#REF!</v>
      </c>
      <c r="FZ27" t="e">
        <f>AND(#REF!,"AAAAAFvPf7U=")</f>
        <v>#REF!</v>
      </c>
      <c r="GA27" t="e">
        <f>AND(#REF!,"AAAAAFvPf7Y=")</f>
        <v>#REF!</v>
      </c>
      <c r="GB27" t="e">
        <f>AND(#REF!,"AAAAAFvPf7c=")</f>
        <v>#REF!</v>
      </c>
      <c r="GC27" t="e">
        <f>AND(#REF!,"AAAAAFvPf7g=")</f>
        <v>#REF!</v>
      </c>
      <c r="GD27" t="e">
        <f>AND(#REF!,"AAAAAFvPf7k=")</f>
        <v>#REF!</v>
      </c>
      <c r="GE27" t="e">
        <f>AND(#REF!,"AAAAAFvPf7o=")</f>
        <v>#REF!</v>
      </c>
      <c r="GF27" t="e">
        <f>AND(#REF!,"AAAAAFvPf7s=")</f>
        <v>#REF!</v>
      </c>
      <c r="GG27" t="e">
        <f>AND(#REF!,"AAAAAFvPf7w=")</f>
        <v>#REF!</v>
      </c>
      <c r="GH27" t="e">
        <f>AND(#REF!,"AAAAAFvPf70=")</f>
        <v>#REF!</v>
      </c>
      <c r="GI27" t="e">
        <f>AND(#REF!,"AAAAAFvPf74=")</f>
        <v>#REF!</v>
      </c>
      <c r="GJ27" t="e">
        <f>AND(#REF!,"AAAAAFvPf78=")</f>
        <v>#REF!</v>
      </c>
      <c r="GK27" t="e">
        <f>AND(#REF!,"AAAAAFvPf8A=")</f>
        <v>#REF!</v>
      </c>
      <c r="GL27" t="e">
        <f>AND(#REF!,"AAAAAFvPf8E=")</f>
        <v>#REF!</v>
      </c>
      <c r="GM27" t="e">
        <f>AND(#REF!,"AAAAAFvPf8I=")</f>
        <v>#REF!</v>
      </c>
      <c r="GN27" t="e">
        <f>AND(#REF!,"AAAAAFvPf8M=")</f>
        <v>#REF!</v>
      </c>
      <c r="GO27" t="e">
        <f>AND(#REF!,"AAAAAFvPf8Q=")</f>
        <v>#REF!</v>
      </c>
      <c r="GP27" t="e">
        <f>AND(#REF!,"AAAAAFvPf8U=")</f>
        <v>#REF!</v>
      </c>
      <c r="GQ27" t="e">
        <f>AND(#REF!,"AAAAAFvPf8Y=")</f>
        <v>#REF!</v>
      </c>
      <c r="GR27" t="e">
        <f>IF(#REF!,"AAAAAFvPf8c=",0)</f>
        <v>#REF!</v>
      </c>
      <c r="GS27" t="e">
        <f>AND(#REF!,"AAAAAFvPf8g=")</f>
        <v>#REF!</v>
      </c>
      <c r="GT27" t="e">
        <f>AND(#REF!,"AAAAAFvPf8k=")</f>
        <v>#REF!</v>
      </c>
      <c r="GU27" t="e">
        <f>AND(#REF!,"AAAAAFvPf8o=")</f>
        <v>#REF!</v>
      </c>
      <c r="GV27" t="e">
        <f>AND(#REF!,"AAAAAFvPf8s=")</f>
        <v>#REF!</v>
      </c>
      <c r="GW27" t="e">
        <f>AND(#REF!,"AAAAAFvPf8w=")</f>
        <v>#REF!</v>
      </c>
      <c r="GX27" t="e">
        <f>AND(#REF!,"AAAAAFvPf80=")</f>
        <v>#REF!</v>
      </c>
      <c r="GY27" t="e">
        <f>AND(#REF!,"AAAAAFvPf84=")</f>
        <v>#REF!</v>
      </c>
      <c r="GZ27" t="e">
        <f>AND(#REF!,"AAAAAFvPf88=")</f>
        <v>#REF!</v>
      </c>
      <c r="HA27" t="e">
        <f>AND(#REF!,"AAAAAFvPf9A=")</f>
        <v>#REF!</v>
      </c>
      <c r="HB27" t="e">
        <f>AND(#REF!,"AAAAAFvPf9E=")</f>
        <v>#REF!</v>
      </c>
      <c r="HC27" t="e">
        <f>AND(#REF!,"AAAAAFvPf9I=")</f>
        <v>#REF!</v>
      </c>
      <c r="HD27" t="e">
        <f>AND(#REF!,"AAAAAFvPf9M=")</f>
        <v>#REF!</v>
      </c>
      <c r="HE27" t="e">
        <f>AND(#REF!,"AAAAAFvPf9Q=")</f>
        <v>#REF!</v>
      </c>
      <c r="HF27" t="e">
        <f>AND(#REF!,"AAAAAFvPf9U=")</f>
        <v>#REF!</v>
      </c>
      <c r="HG27" t="e">
        <f>AND(#REF!,"AAAAAFvPf9Y=")</f>
        <v>#REF!</v>
      </c>
      <c r="HH27" t="e">
        <f>AND(#REF!,"AAAAAFvPf9c=")</f>
        <v>#REF!</v>
      </c>
      <c r="HI27" t="e">
        <f>AND(#REF!,"AAAAAFvPf9g=")</f>
        <v>#REF!</v>
      </c>
      <c r="HJ27" t="e">
        <f>AND(#REF!,"AAAAAFvPf9k=")</f>
        <v>#REF!</v>
      </c>
      <c r="HK27" t="e">
        <f>IF(#REF!,"AAAAAFvPf9o=",0)</f>
        <v>#REF!</v>
      </c>
      <c r="HL27" t="e">
        <f>AND(#REF!,"AAAAAFvPf9s=")</f>
        <v>#REF!</v>
      </c>
      <c r="HM27" t="e">
        <f>AND(#REF!,"AAAAAFvPf9w=")</f>
        <v>#REF!</v>
      </c>
      <c r="HN27" t="e">
        <f>AND(#REF!,"AAAAAFvPf90=")</f>
        <v>#REF!</v>
      </c>
      <c r="HO27" t="e">
        <f>AND(#REF!,"AAAAAFvPf94=")</f>
        <v>#REF!</v>
      </c>
      <c r="HP27" t="e">
        <f>AND(#REF!,"AAAAAFvPf98=")</f>
        <v>#REF!</v>
      </c>
      <c r="HQ27" t="e">
        <f>AND(#REF!,"AAAAAFvPf+A=")</f>
        <v>#REF!</v>
      </c>
      <c r="HR27" t="e">
        <f>AND(#REF!,"AAAAAFvPf+E=")</f>
        <v>#REF!</v>
      </c>
      <c r="HS27" t="e">
        <f>AND(#REF!,"AAAAAFvPf+I=")</f>
        <v>#REF!</v>
      </c>
      <c r="HT27" t="e">
        <f>AND(#REF!,"AAAAAFvPf+M=")</f>
        <v>#REF!</v>
      </c>
      <c r="HU27" t="e">
        <f>AND(#REF!,"AAAAAFvPf+Q=")</f>
        <v>#REF!</v>
      </c>
      <c r="HV27" t="e">
        <f>AND(#REF!,"AAAAAFvPf+U=")</f>
        <v>#REF!</v>
      </c>
      <c r="HW27" t="e">
        <f>AND(#REF!,"AAAAAFvPf+Y=")</f>
        <v>#REF!</v>
      </c>
      <c r="HX27" t="e">
        <f>AND(#REF!,"AAAAAFvPf+c=")</f>
        <v>#REF!</v>
      </c>
      <c r="HY27" t="e">
        <f>AND(#REF!,"AAAAAFvPf+g=")</f>
        <v>#REF!</v>
      </c>
      <c r="HZ27" t="e">
        <f>AND(#REF!,"AAAAAFvPf+k=")</f>
        <v>#REF!</v>
      </c>
      <c r="IA27" t="e">
        <f>AND(#REF!,"AAAAAFvPf+o=")</f>
        <v>#REF!</v>
      </c>
      <c r="IB27" t="e">
        <f>AND(#REF!,"AAAAAFvPf+s=")</f>
        <v>#REF!</v>
      </c>
      <c r="IC27" t="e">
        <f>AND(#REF!,"AAAAAFvPf+w=")</f>
        <v>#REF!</v>
      </c>
      <c r="ID27" t="e">
        <f>IF(#REF!,"AAAAAFvPf+0=",0)</f>
        <v>#REF!</v>
      </c>
      <c r="IE27" t="e">
        <f>AND(#REF!,"AAAAAFvPf+4=")</f>
        <v>#REF!</v>
      </c>
      <c r="IF27" t="e">
        <f>AND(#REF!,"AAAAAFvPf+8=")</f>
        <v>#REF!</v>
      </c>
      <c r="IG27" t="e">
        <f>AND(#REF!,"AAAAAFvPf/A=")</f>
        <v>#REF!</v>
      </c>
      <c r="IH27" t="e">
        <f>AND(#REF!,"AAAAAFvPf/E=")</f>
        <v>#REF!</v>
      </c>
      <c r="II27" t="e">
        <f>AND(#REF!,"AAAAAFvPf/I=")</f>
        <v>#REF!</v>
      </c>
      <c r="IJ27" t="e">
        <f>AND(#REF!,"AAAAAFvPf/M=")</f>
        <v>#REF!</v>
      </c>
      <c r="IK27" t="e">
        <f>AND(#REF!,"AAAAAFvPf/Q=")</f>
        <v>#REF!</v>
      </c>
      <c r="IL27" t="e">
        <f>AND(#REF!,"AAAAAFvPf/U=")</f>
        <v>#REF!</v>
      </c>
      <c r="IM27" t="e">
        <f>AND(#REF!,"AAAAAFvPf/Y=")</f>
        <v>#REF!</v>
      </c>
      <c r="IN27" t="e">
        <f>AND(#REF!,"AAAAAFvPf/c=")</f>
        <v>#REF!</v>
      </c>
      <c r="IO27" t="e">
        <f>AND(#REF!,"AAAAAFvPf/g=")</f>
        <v>#REF!</v>
      </c>
      <c r="IP27" t="e">
        <f>AND(#REF!,"AAAAAFvPf/k=")</f>
        <v>#REF!</v>
      </c>
      <c r="IQ27" t="e">
        <f>AND(#REF!,"AAAAAFvPf/o=")</f>
        <v>#REF!</v>
      </c>
      <c r="IR27" t="e">
        <f>AND(#REF!,"AAAAAFvPf/s=")</f>
        <v>#REF!</v>
      </c>
      <c r="IS27" t="e">
        <f>AND(#REF!,"AAAAAFvPf/w=")</f>
        <v>#REF!</v>
      </c>
      <c r="IT27" t="e">
        <f>AND(#REF!,"AAAAAFvPf/0=")</f>
        <v>#REF!</v>
      </c>
      <c r="IU27" t="e">
        <f>AND(#REF!,"AAAAAFvPf/4=")</f>
        <v>#REF!</v>
      </c>
      <c r="IV27" t="e">
        <f>AND(#REF!,"AAAAAFvPf/8=")</f>
        <v>#REF!</v>
      </c>
    </row>
    <row r="28" spans="1:256" x14ac:dyDescent="0.15">
      <c r="A28" t="e">
        <f>IF(#REF!,"AAAAAD9P/wA=",0)</f>
        <v>#REF!</v>
      </c>
      <c r="B28" t="e">
        <f>AND(#REF!,"AAAAAD9P/wE=")</f>
        <v>#REF!</v>
      </c>
      <c r="C28" t="e">
        <f>AND(#REF!,"AAAAAD9P/wI=")</f>
        <v>#REF!</v>
      </c>
      <c r="D28" t="e">
        <f>AND(#REF!,"AAAAAD9P/wM=")</f>
        <v>#REF!</v>
      </c>
      <c r="E28" t="e">
        <f>AND(#REF!,"AAAAAD9P/wQ=")</f>
        <v>#REF!</v>
      </c>
      <c r="F28" t="e">
        <f>AND(#REF!,"AAAAAD9P/wU=")</f>
        <v>#REF!</v>
      </c>
      <c r="G28" t="e">
        <f>AND(#REF!,"AAAAAD9P/wY=")</f>
        <v>#REF!</v>
      </c>
      <c r="H28" t="e">
        <f>AND(#REF!,"AAAAAD9P/wc=")</f>
        <v>#REF!</v>
      </c>
      <c r="I28" t="e">
        <f>AND(#REF!,"AAAAAD9P/wg=")</f>
        <v>#REF!</v>
      </c>
      <c r="J28" t="e">
        <f>AND(#REF!,"AAAAAD9P/wk=")</f>
        <v>#REF!</v>
      </c>
      <c r="K28" t="e">
        <f>AND(#REF!,"AAAAAD9P/wo=")</f>
        <v>#REF!</v>
      </c>
      <c r="L28" t="e">
        <f>AND(#REF!,"AAAAAD9P/ws=")</f>
        <v>#REF!</v>
      </c>
      <c r="M28" t="e">
        <f>AND(#REF!,"AAAAAD9P/ww=")</f>
        <v>#REF!</v>
      </c>
      <c r="N28" t="e">
        <f>AND(#REF!,"AAAAAD9P/w0=")</f>
        <v>#REF!</v>
      </c>
      <c r="O28" t="e">
        <f>AND(#REF!,"AAAAAD9P/w4=")</f>
        <v>#REF!</v>
      </c>
      <c r="P28" t="e">
        <f>AND(#REF!,"AAAAAD9P/w8=")</f>
        <v>#REF!</v>
      </c>
      <c r="Q28" t="e">
        <f>AND(#REF!,"AAAAAD9P/xA=")</f>
        <v>#REF!</v>
      </c>
      <c r="R28" t="e">
        <f>AND(#REF!,"AAAAAD9P/xE=")</f>
        <v>#REF!</v>
      </c>
      <c r="S28" t="e">
        <f>AND(#REF!,"AAAAAD9P/xI=")</f>
        <v>#REF!</v>
      </c>
      <c r="T28" t="e">
        <f>IF(#REF!,"AAAAAD9P/xM=",0)</f>
        <v>#REF!</v>
      </c>
      <c r="U28" t="e">
        <f>AND(#REF!,"AAAAAD9P/xQ=")</f>
        <v>#REF!</v>
      </c>
      <c r="V28" t="e">
        <f>AND(#REF!,"AAAAAD9P/xU=")</f>
        <v>#REF!</v>
      </c>
      <c r="W28" t="e">
        <f>AND(#REF!,"AAAAAD9P/xY=")</f>
        <v>#REF!</v>
      </c>
      <c r="X28" t="e">
        <f>AND(#REF!,"AAAAAD9P/xc=")</f>
        <v>#REF!</v>
      </c>
      <c r="Y28" t="e">
        <f>AND(#REF!,"AAAAAD9P/xg=")</f>
        <v>#REF!</v>
      </c>
      <c r="Z28" t="e">
        <f>AND(#REF!,"AAAAAD9P/xk=")</f>
        <v>#REF!</v>
      </c>
      <c r="AA28" t="e">
        <f>AND(#REF!,"AAAAAD9P/xo=")</f>
        <v>#REF!</v>
      </c>
      <c r="AB28" t="e">
        <f>AND(#REF!,"AAAAAD9P/xs=")</f>
        <v>#REF!</v>
      </c>
      <c r="AC28" t="e">
        <f>AND(#REF!,"AAAAAD9P/xw=")</f>
        <v>#REF!</v>
      </c>
      <c r="AD28" t="e">
        <f>AND(#REF!,"AAAAAD9P/x0=")</f>
        <v>#REF!</v>
      </c>
      <c r="AE28" t="e">
        <f>AND(#REF!,"AAAAAD9P/x4=")</f>
        <v>#REF!</v>
      </c>
      <c r="AF28" t="e">
        <f>AND(#REF!,"AAAAAD9P/x8=")</f>
        <v>#REF!</v>
      </c>
      <c r="AG28" t="e">
        <f>AND(#REF!,"AAAAAD9P/yA=")</f>
        <v>#REF!</v>
      </c>
      <c r="AH28" t="e">
        <f>AND(#REF!,"AAAAAD9P/yE=")</f>
        <v>#REF!</v>
      </c>
      <c r="AI28" t="e">
        <f>AND(#REF!,"AAAAAD9P/yI=")</f>
        <v>#REF!</v>
      </c>
      <c r="AJ28" t="e">
        <f>AND(#REF!,"AAAAAD9P/yM=")</f>
        <v>#REF!</v>
      </c>
      <c r="AK28" t="e">
        <f>AND(#REF!,"AAAAAD9P/yQ=")</f>
        <v>#REF!</v>
      </c>
      <c r="AL28" t="e">
        <f>AND(#REF!,"AAAAAD9P/yU=")</f>
        <v>#REF!</v>
      </c>
      <c r="AM28" t="e">
        <f>IF(#REF!,"AAAAAD9P/yY=",0)</f>
        <v>#REF!</v>
      </c>
      <c r="AN28" t="e">
        <f>AND(#REF!,"AAAAAD9P/yc=")</f>
        <v>#REF!</v>
      </c>
      <c r="AO28" t="e">
        <f>AND(#REF!,"AAAAAD9P/yg=")</f>
        <v>#REF!</v>
      </c>
      <c r="AP28" t="e">
        <f>AND(#REF!,"AAAAAD9P/yk=")</f>
        <v>#REF!</v>
      </c>
      <c r="AQ28" t="e">
        <f>AND(#REF!,"AAAAAD9P/yo=")</f>
        <v>#REF!</v>
      </c>
      <c r="AR28" t="e">
        <f>AND(#REF!,"AAAAAD9P/ys=")</f>
        <v>#REF!</v>
      </c>
      <c r="AS28" t="e">
        <f>AND(#REF!,"AAAAAD9P/yw=")</f>
        <v>#REF!</v>
      </c>
      <c r="AT28" t="e">
        <f>AND(#REF!,"AAAAAD9P/y0=")</f>
        <v>#REF!</v>
      </c>
      <c r="AU28" t="e">
        <f>AND(#REF!,"AAAAAD9P/y4=")</f>
        <v>#REF!</v>
      </c>
      <c r="AV28" t="e">
        <f>AND(#REF!,"AAAAAD9P/y8=")</f>
        <v>#REF!</v>
      </c>
      <c r="AW28" t="e">
        <f>AND(#REF!,"AAAAAD9P/zA=")</f>
        <v>#REF!</v>
      </c>
      <c r="AX28" t="e">
        <f>AND(#REF!,"AAAAAD9P/zE=")</f>
        <v>#REF!</v>
      </c>
      <c r="AY28" t="e">
        <f>AND(#REF!,"AAAAAD9P/zI=")</f>
        <v>#REF!</v>
      </c>
      <c r="AZ28" t="e">
        <f>AND(#REF!,"AAAAAD9P/zM=")</f>
        <v>#REF!</v>
      </c>
      <c r="BA28" t="e">
        <f>AND(#REF!,"AAAAAD9P/zQ=")</f>
        <v>#REF!</v>
      </c>
      <c r="BB28" t="e">
        <f>AND(#REF!,"AAAAAD9P/zU=")</f>
        <v>#REF!</v>
      </c>
      <c r="BC28" t="e">
        <f>AND(#REF!,"AAAAAD9P/zY=")</f>
        <v>#REF!</v>
      </c>
      <c r="BD28" t="e">
        <f>AND(#REF!,"AAAAAD9P/zc=")</f>
        <v>#REF!</v>
      </c>
      <c r="BE28" t="e">
        <f>AND(#REF!,"AAAAAD9P/zg=")</f>
        <v>#REF!</v>
      </c>
      <c r="BF28" t="e">
        <f>IF(#REF!,"AAAAAD9P/zk=",0)</f>
        <v>#REF!</v>
      </c>
      <c r="BG28" t="e">
        <f>AND(#REF!,"AAAAAD9P/zo=")</f>
        <v>#REF!</v>
      </c>
      <c r="BH28" t="e">
        <f>AND(#REF!,"AAAAAD9P/zs=")</f>
        <v>#REF!</v>
      </c>
      <c r="BI28" t="e">
        <f>AND(#REF!,"AAAAAD9P/zw=")</f>
        <v>#REF!</v>
      </c>
      <c r="BJ28" t="e">
        <f>AND(#REF!,"AAAAAD9P/z0=")</f>
        <v>#REF!</v>
      </c>
      <c r="BK28" t="e">
        <f>AND(#REF!,"AAAAAD9P/z4=")</f>
        <v>#REF!</v>
      </c>
      <c r="BL28" t="e">
        <f>AND(#REF!,"AAAAAD9P/z8=")</f>
        <v>#REF!</v>
      </c>
      <c r="BM28" t="e">
        <f>AND(#REF!,"AAAAAD9P/0A=")</f>
        <v>#REF!</v>
      </c>
      <c r="BN28" t="e">
        <f>AND(#REF!,"AAAAAD9P/0E=")</f>
        <v>#REF!</v>
      </c>
      <c r="BO28" t="e">
        <f>AND(#REF!,"AAAAAD9P/0I=")</f>
        <v>#REF!</v>
      </c>
      <c r="BP28" t="e">
        <f>AND(#REF!,"AAAAAD9P/0M=")</f>
        <v>#REF!</v>
      </c>
      <c r="BQ28" t="e">
        <f>AND(#REF!,"AAAAAD9P/0Q=")</f>
        <v>#REF!</v>
      </c>
      <c r="BR28" t="e">
        <f>AND(#REF!,"AAAAAD9P/0U=")</f>
        <v>#REF!</v>
      </c>
      <c r="BS28" t="e">
        <f>AND(#REF!,"AAAAAD9P/0Y=")</f>
        <v>#REF!</v>
      </c>
      <c r="BT28" t="e">
        <f>AND(#REF!,"AAAAAD9P/0c=")</f>
        <v>#REF!</v>
      </c>
      <c r="BU28" t="e">
        <f>AND(#REF!,"AAAAAD9P/0g=")</f>
        <v>#REF!</v>
      </c>
      <c r="BV28" t="e">
        <f>AND(#REF!,"AAAAAD9P/0k=")</f>
        <v>#REF!</v>
      </c>
      <c r="BW28" t="e">
        <f>AND(#REF!,"AAAAAD9P/0o=")</f>
        <v>#REF!</v>
      </c>
      <c r="BX28" t="e">
        <f>AND(#REF!,"AAAAAD9P/0s=")</f>
        <v>#REF!</v>
      </c>
      <c r="BY28" t="e">
        <f>IF(#REF!,"AAAAAD9P/0w=",0)</f>
        <v>#REF!</v>
      </c>
      <c r="BZ28" t="e">
        <f>AND(#REF!,"AAAAAD9P/00=")</f>
        <v>#REF!</v>
      </c>
      <c r="CA28" t="e">
        <f>AND(#REF!,"AAAAAD9P/04=")</f>
        <v>#REF!</v>
      </c>
      <c r="CB28" t="e">
        <f>AND(#REF!,"AAAAAD9P/08=")</f>
        <v>#REF!</v>
      </c>
      <c r="CC28" t="e">
        <f>AND(#REF!,"AAAAAD9P/1A=")</f>
        <v>#REF!</v>
      </c>
      <c r="CD28" t="e">
        <f>AND(#REF!,"AAAAAD9P/1E=")</f>
        <v>#REF!</v>
      </c>
      <c r="CE28" t="e">
        <f>AND(#REF!,"AAAAAD9P/1I=")</f>
        <v>#REF!</v>
      </c>
      <c r="CF28" t="e">
        <f>AND(#REF!,"AAAAAD9P/1M=")</f>
        <v>#REF!</v>
      </c>
      <c r="CG28" t="e">
        <f>AND(#REF!,"AAAAAD9P/1Q=")</f>
        <v>#REF!</v>
      </c>
      <c r="CH28" t="e">
        <f>AND(#REF!,"AAAAAD9P/1U=")</f>
        <v>#REF!</v>
      </c>
      <c r="CI28" t="e">
        <f>AND(#REF!,"AAAAAD9P/1Y=")</f>
        <v>#REF!</v>
      </c>
      <c r="CJ28" t="e">
        <f>AND(#REF!,"AAAAAD9P/1c=")</f>
        <v>#REF!</v>
      </c>
      <c r="CK28" t="e">
        <f>AND(#REF!,"AAAAAD9P/1g=")</f>
        <v>#REF!</v>
      </c>
      <c r="CL28" t="e">
        <f>AND(#REF!,"AAAAAD9P/1k=")</f>
        <v>#REF!</v>
      </c>
      <c r="CM28" t="e">
        <f>AND(#REF!,"AAAAAD9P/1o=")</f>
        <v>#REF!</v>
      </c>
      <c r="CN28" t="e">
        <f>AND(#REF!,"AAAAAD9P/1s=")</f>
        <v>#REF!</v>
      </c>
      <c r="CO28" t="e">
        <f>AND(#REF!,"AAAAAD9P/1w=")</f>
        <v>#REF!</v>
      </c>
      <c r="CP28" t="e">
        <f>AND(#REF!,"AAAAAD9P/10=")</f>
        <v>#REF!</v>
      </c>
      <c r="CQ28" t="e">
        <f>AND(#REF!,"AAAAAD9P/14=")</f>
        <v>#REF!</v>
      </c>
      <c r="CR28" t="e">
        <f>IF(#REF!,"AAAAAD9P/18=",0)</f>
        <v>#REF!</v>
      </c>
      <c r="CS28" t="e">
        <f>AND(#REF!,"AAAAAD9P/2A=")</f>
        <v>#REF!</v>
      </c>
      <c r="CT28" t="e">
        <f>AND(#REF!,"AAAAAD9P/2E=")</f>
        <v>#REF!</v>
      </c>
      <c r="CU28" t="e">
        <f>AND(#REF!,"AAAAAD9P/2I=")</f>
        <v>#REF!</v>
      </c>
      <c r="CV28" t="e">
        <f>AND(#REF!,"AAAAAD9P/2M=")</f>
        <v>#REF!</v>
      </c>
      <c r="CW28" t="e">
        <f>AND(#REF!,"AAAAAD9P/2Q=")</f>
        <v>#REF!</v>
      </c>
      <c r="CX28" t="e">
        <f>AND(#REF!,"AAAAAD9P/2U=")</f>
        <v>#REF!</v>
      </c>
      <c r="CY28" t="e">
        <f>AND(#REF!,"AAAAAD9P/2Y=")</f>
        <v>#REF!</v>
      </c>
      <c r="CZ28" t="e">
        <f>AND(#REF!,"AAAAAD9P/2c=")</f>
        <v>#REF!</v>
      </c>
      <c r="DA28" t="e">
        <f>AND(#REF!,"AAAAAD9P/2g=")</f>
        <v>#REF!</v>
      </c>
      <c r="DB28" t="e">
        <f>AND(#REF!,"AAAAAD9P/2k=")</f>
        <v>#REF!</v>
      </c>
      <c r="DC28" t="e">
        <f>AND(#REF!,"AAAAAD9P/2o=")</f>
        <v>#REF!</v>
      </c>
      <c r="DD28" t="e">
        <f>AND(#REF!,"AAAAAD9P/2s=")</f>
        <v>#REF!</v>
      </c>
      <c r="DE28" t="e">
        <f>AND(#REF!,"AAAAAD9P/2w=")</f>
        <v>#REF!</v>
      </c>
      <c r="DF28" t="e">
        <f>AND(#REF!,"AAAAAD9P/20=")</f>
        <v>#REF!</v>
      </c>
      <c r="DG28" t="e">
        <f>AND(#REF!,"AAAAAD9P/24=")</f>
        <v>#REF!</v>
      </c>
      <c r="DH28" t="e">
        <f>AND(#REF!,"AAAAAD9P/28=")</f>
        <v>#REF!</v>
      </c>
      <c r="DI28" t="e">
        <f>AND(#REF!,"AAAAAD9P/3A=")</f>
        <v>#REF!</v>
      </c>
      <c r="DJ28" t="e">
        <f>AND(#REF!,"AAAAAD9P/3E=")</f>
        <v>#REF!</v>
      </c>
      <c r="DK28" t="e">
        <f>IF(#REF!,"AAAAAD9P/3I=",0)</f>
        <v>#REF!</v>
      </c>
      <c r="DL28" t="e">
        <f>AND(#REF!,"AAAAAD9P/3M=")</f>
        <v>#REF!</v>
      </c>
      <c r="DM28" t="e">
        <f>AND(#REF!,"AAAAAD9P/3Q=")</f>
        <v>#REF!</v>
      </c>
      <c r="DN28" t="e">
        <f>AND(#REF!,"AAAAAD9P/3U=")</f>
        <v>#REF!</v>
      </c>
      <c r="DO28" t="e">
        <f>AND(#REF!,"AAAAAD9P/3Y=")</f>
        <v>#REF!</v>
      </c>
      <c r="DP28" t="e">
        <f>AND(#REF!,"AAAAAD9P/3c=")</f>
        <v>#REF!</v>
      </c>
      <c r="DQ28" t="e">
        <f>AND(#REF!,"AAAAAD9P/3g=")</f>
        <v>#REF!</v>
      </c>
      <c r="DR28" t="e">
        <f>AND(#REF!,"AAAAAD9P/3k=")</f>
        <v>#REF!</v>
      </c>
      <c r="DS28" t="e">
        <f>AND(#REF!,"AAAAAD9P/3o=")</f>
        <v>#REF!</v>
      </c>
      <c r="DT28" t="e">
        <f>AND(#REF!,"AAAAAD9P/3s=")</f>
        <v>#REF!</v>
      </c>
      <c r="DU28" t="e">
        <f>AND(#REF!,"AAAAAD9P/3w=")</f>
        <v>#REF!</v>
      </c>
      <c r="DV28" t="e">
        <f>AND(#REF!,"AAAAAD9P/30=")</f>
        <v>#REF!</v>
      </c>
      <c r="DW28" t="e">
        <f>AND(#REF!,"AAAAAD9P/34=")</f>
        <v>#REF!</v>
      </c>
      <c r="DX28" t="e">
        <f>AND(#REF!,"AAAAAD9P/38=")</f>
        <v>#REF!</v>
      </c>
      <c r="DY28" t="e">
        <f>AND(#REF!,"AAAAAD9P/4A=")</f>
        <v>#REF!</v>
      </c>
      <c r="DZ28" t="e">
        <f>AND(#REF!,"AAAAAD9P/4E=")</f>
        <v>#REF!</v>
      </c>
      <c r="EA28" t="e">
        <f>AND(#REF!,"AAAAAD9P/4I=")</f>
        <v>#REF!</v>
      </c>
      <c r="EB28" t="e">
        <f>AND(#REF!,"AAAAAD9P/4M=")</f>
        <v>#REF!</v>
      </c>
      <c r="EC28" t="e">
        <f>AND(#REF!,"AAAAAD9P/4Q=")</f>
        <v>#REF!</v>
      </c>
      <c r="ED28" t="e">
        <f>IF(#REF!,"AAAAAD9P/4U=",0)</f>
        <v>#REF!</v>
      </c>
      <c r="EE28" t="e">
        <f>AND(#REF!,"AAAAAD9P/4Y=")</f>
        <v>#REF!</v>
      </c>
      <c r="EF28" t="e">
        <f>AND(#REF!,"AAAAAD9P/4c=")</f>
        <v>#REF!</v>
      </c>
      <c r="EG28" t="e">
        <f>AND(#REF!,"AAAAAD9P/4g=")</f>
        <v>#REF!</v>
      </c>
      <c r="EH28" t="e">
        <f>AND(#REF!,"AAAAAD9P/4k=")</f>
        <v>#REF!</v>
      </c>
      <c r="EI28" t="e">
        <f>AND(#REF!,"AAAAAD9P/4o=")</f>
        <v>#REF!</v>
      </c>
      <c r="EJ28" t="e">
        <f>AND(#REF!,"AAAAAD9P/4s=")</f>
        <v>#REF!</v>
      </c>
      <c r="EK28" t="e">
        <f>AND(#REF!,"AAAAAD9P/4w=")</f>
        <v>#REF!</v>
      </c>
      <c r="EL28" t="e">
        <f>AND(#REF!,"AAAAAD9P/40=")</f>
        <v>#REF!</v>
      </c>
      <c r="EM28" t="e">
        <f>AND(#REF!,"AAAAAD9P/44=")</f>
        <v>#REF!</v>
      </c>
      <c r="EN28" t="e">
        <f>AND(#REF!,"AAAAAD9P/48=")</f>
        <v>#REF!</v>
      </c>
      <c r="EO28" t="e">
        <f>AND(#REF!,"AAAAAD9P/5A=")</f>
        <v>#REF!</v>
      </c>
      <c r="EP28" t="e">
        <f>AND(#REF!,"AAAAAD9P/5E=")</f>
        <v>#REF!</v>
      </c>
      <c r="EQ28" t="e">
        <f>AND(#REF!,"AAAAAD9P/5I=")</f>
        <v>#REF!</v>
      </c>
      <c r="ER28" t="e">
        <f>AND(#REF!,"AAAAAD9P/5M=")</f>
        <v>#REF!</v>
      </c>
      <c r="ES28" t="e">
        <f>AND(#REF!,"AAAAAD9P/5Q=")</f>
        <v>#REF!</v>
      </c>
      <c r="ET28" t="e">
        <f>AND(#REF!,"AAAAAD9P/5U=")</f>
        <v>#REF!</v>
      </c>
      <c r="EU28" t="e">
        <f>AND(#REF!,"AAAAAD9P/5Y=")</f>
        <v>#REF!</v>
      </c>
      <c r="EV28" t="e">
        <f>AND(#REF!,"AAAAAD9P/5c=")</f>
        <v>#REF!</v>
      </c>
      <c r="EW28" t="e">
        <f>IF(#REF!,"AAAAAD9P/5g=",0)</f>
        <v>#REF!</v>
      </c>
      <c r="EX28" t="e">
        <f>AND(#REF!,"AAAAAD9P/5k=")</f>
        <v>#REF!</v>
      </c>
      <c r="EY28" t="e">
        <f>AND(#REF!,"AAAAAD9P/5o=")</f>
        <v>#REF!</v>
      </c>
      <c r="EZ28" t="e">
        <f>AND(#REF!,"AAAAAD9P/5s=")</f>
        <v>#REF!</v>
      </c>
      <c r="FA28" t="e">
        <f>AND(#REF!,"AAAAAD9P/5w=")</f>
        <v>#REF!</v>
      </c>
      <c r="FB28" t="e">
        <f>AND(#REF!,"AAAAAD9P/50=")</f>
        <v>#REF!</v>
      </c>
      <c r="FC28" t="e">
        <f>AND(#REF!,"AAAAAD9P/54=")</f>
        <v>#REF!</v>
      </c>
      <c r="FD28" t="e">
        <f>AND(#REF!,"AAAAAD9P/58=")</f>
        <v>#REF!</v>
      </c>
      <c r="FE28" t="e">
        <f>AND(#REF!,"AAAAAD9P/6A=")</f>
        <v>#REF!</v>
      </c>
      <c r="FF28" t="e">
        <f>AND(#REF!,"AAAAAD9P/6E=")</f>
        <v>#REF!</v>
      </c>
      <c r="FG28" t="e">
        <f>AND(#REF!,"AAAAAD9P/6I=")</f>
        <v>#REF!</v>
      </c>
      <c r="FH28" t="e">
        <f>AND(#REF!,"AAAAAD9P/6M=")</f>
        <v>#REF!</v>
      </c>
      <c r="FI28" t="e">
        <f>AND(#REF!,"AAAAAD9P/6Q=")</f>
        <v>#REF!</v>
      </c>
      <c r="FJ28" t="e">
        <f>AND(#REF!,"AAAAAD9P/6U=")</f>
        <v>#REF!</v>
      </c>
      <c r="FK28" t="e">
        <f>AND(#REF!,"AAAAAD9P/6Y=")</f>
        <v>#REF!</v>
      </c>
      <c r="FL28" t="e">
        <f>AND(#REF!,"AAAAAD9P/6c=")</f>
        <v>#REF!</v>
      </c>
      <c r="FM28" t="e">
        <f>AND(#REF!,"AAAAAD9P/6g=")</f>
        <v>#REF!</v>
      </c>
      <c r="FN28" t="e">
        <f>AND(#REF!,"AAAAAD9P/6k=")</f>
        <v>#REF!</v>
      </c>
      <c r="FO28" t="e">
        <f>AND(#REF!,"AAAAAD9P/6o=")</f>
        <v>#REF!</v>
      </c>
      <c r="FP28" t="e">
        <f>IF(#REF!,"AAAAAD9P/6s=",0)</f>
        <v>#REF!</v>
      </c>
      <c r="FQ28" t="e">
        <f>AND(#REF!,"AAAAAD9P/6w=")</f>
        <v>#REF!</v>
      </c>
      <c r="FR28" t="e">
        <f>AND(#REF!,"AAAAAD9P/60=")</f>
        <v>#REF!</v>
      </c>
      <c r="FS28" t="e">
        <f>AND(#REF!,"AAAAAD9P/64=")</f>
        <v>#REF!</v>
      </c>
      <c r="FT28" t="e">
        <f>AND(#REF!,"AAAAAD9P/68=")</f>
        <v>#REF!</v>
      </c>
      <c r="FU28" t="e">
        <f>AND(#REF!,"AAAAAD9P/7A=")</f>
        <v>#REF!</v>
      </c>
      <c r="FV28" t="e">
        <f>AND(#REF!,"AAAAAD9P/7E=")</f>
        <v>#REF!</v>
      </c>
      <c r="FW28" t="e">
        <f>AND(#REF!,"AAAAAD9P/7I=")</f>
        <v>#REF!</v>
      </c>
      <c r="FX28" t="e">
        <f>AND(#REF!,"AAAAAD9P/7M=")</f>
        <v>#REF!</v>
      </c>
      <c r="FY28" t="e">
        <f>AND(#REF!,"AAAAAD9P/7Q=")</f>
        <v>#REF!</v>
      </c>
      <c r="FZ28" t="e">
        <f>AND(#REF!,"AAAAAD9P/7U=")</f>
        <v>#REF!</v>
      </c>
      <c r="GA28" t="e">
        <f>AND(#REF!,"AAAAAD9P/7Y=")</f>
        <v>#REF!</v>
      </c>
      <c r="GB28" t="e">
        <f>AND(#REF!,"AAAAAD9P/7c=")</f>
        <v>#REF!</v>
      </c>
      <c r="GC28" t="e">
        <f>AND(#REF!,"AAAAAD9P/7g=")</f>
        <v>#REF!</v>
      </c>
      <c r="GD28" t="e">
        <f>AND(#REF!,"AAAAAD9P/7k=")</f>
        <v>#REF!</v>
      </c>
      <c r="GE28" t="e">
        <f>AND(#REF!,"AAAAAD9P/7o=")</f>
        <v>#REF!</v>
      </c>
      <c r="GF28" t="e">
        <f>AND(#REF!,"AAAAAD9P/7s=")</f>
        <v>#REF!</v>
      </c>
      <c r="GG28" t="e">
        <f>AND(#REF!,"AAAAAD9P/7w=")</f>
        <v>#REF!</v>
      </c>
      <c r="GH28" t="e">
        <f>AND(#REF!,"AAAAAD9P/70=")</f>
        <v>#REF!</v>
      </c>
      <c r="GI28" t="e">
        <f>IF(#REF!,"AAAAAD9P/74=",0)</f>
        <v>#REF!</v>
      </c>
      <c r="GJ28" t="e">
        <f>AND(#REF!,"AAAAAD9P/78=")</f>
        <v>#REF!</v>
      </c>
      <c r="GK28" t="e">
        <f>AND(#REF!,"AAAAAD9P/8A=")</f>
        <v>#REF!</v>
      </c>
      <c r="GL28" t="e">
        <f>AND(#REF!,"AAAAAD9P/8E=")</f>
        <v>#REF!</v>
      </c>
      <c r="GM28" t="e">
        <f>AND(#REF!,"AAAAAD9P/8I=")</f>
        <v>#REF!</v>
      </c>
      <c r="GN28" t="e">
        <f>AND(#REF!,"AAAAAD9P/8M=")</f>
        <v>#REF!</v>
      </c>
      <c r="GO28" t="e">
        <f>AND(#REF!,"AAAAAD9P/8Q=")</f>
        <v>#REF!</v>
      </c>
      <c r="GP28" t="e">
        <f>AND(#REF!,"AAAAAD9P/8U=")</f>
        <v>#REF!</v>
      </c>
      <c r="GQ28" t="e">
        <f>AND(#REF!,"AAAAAD9P/8Y=")</f>
        <v>#REF!</v>
      </c>
      <c r="GR28" t="e">
        <f>AND(#REF!,"AAAAAD9P/8c=")</f>
        <v>#REF!</v>
      </c>
      <c r="GS28" t="e">
        <f>AND(#REF!,"AAAAAD9P/8g=")</f>
        <v>#REF!</v>
      </c>
      <c r="GT28" t="e">
        <f>AND(#REF!,"AAAAAD9P/8k=")</f>
        <v>#REF!</v>
      </c>
      <c r="GU28" t="e">
        <f>AND(#REF!,"AAAAAD9P/8o=")</f>
        <v>#REF!</v>
      </c>
      <c r="GV28" t="e">
        <f>AND(#REF!,"AAAAAD9P/8s=")</f>
        <v>#REF!</v>
      </c>
      <c r="GW28" t="e">
        <f>AND(#REF!,"AAAAAD9P/8w=")</f>
        <v>#REF!</v>
      </c>
      <c r="GX28" t="e">
        <f>AND(#REF!,"AAAAAD9P/80=")</f>
        <v>#REF!</v>
      </c>
      <c r="GY28" t="e">
        <f>AND(#REF!,"AAAAAD9P/84=")</f>
        <v>#REF!</v>
      </c>
      <c r="GZ28" t="e">
        <f>AND(#REF!,"AAAAAD9P/88=")</f>
        <v>#REF!</v>
      </c>
      <c r="HA28" t="e">
        <f>AND(#REF!,"AAAAAD9P/9A=")</f>
        <v>#REF!</v>
      </c>
      <c r="HB28" t="e">
        <f>IF(#REF!,"AAAAAD9P/9E=",0)</f>
        <v>#REF!</v>
      </c>
      <c r="HC28" t="e">
        <f>AND(#REF!,"AAAAAD9P/9I=")</f>
        <v>#REF!</v>
      </c>
      <c r="HD28" t="e">
        <f>AND(#REF!,"AAAAAD9P/9M=")</f>
        <v>#REF!</v>
      </c>
      <c r="HE28" t="e">
        <f>AND(#REF!,"AAAAAD9P/9Q=")</f>
        <v>#REF!</v>
      </c>
      <c r="HF28" t="e">
        <f>AND(#REF!,"AAAAAD9P/9U=")</f>
        <v>#REF!</v>
      </c>
      <c r="HG28" t="e">
        <f>AND(#REF!,"AAAAAD9P/9Y=")</f>
        <v>#REF!</v>
      </c>
      <c r="HH28" t="e">
        <f>AND(#REF!,"AAAAAD9P/9c=")</f>
        <v>#REF!</v>
      </c>
      <c r="HI28" t="e">
        <f>AND(#REF!,"AAAAAD9P/9g=")</f>
        <v>#REF!</v>
      </c>
      <c r="HJ28" t="e">
        <f>AND(#REF!,"AAAAAD9P/9k=")</f>
        <v>#REF!</v>
      </c>
      <c r="HK28" t="e">
        <f>AND(#REF!,"AAAAAD9P/9o=")</f>
        <v>#REF!</v>
      </c>
      <c r="HL28" t="e">
        <f>AND(#REF!,"AAAAAD9P/9s=")</f>
        <v>#REF!</v>
      </c>
      <c r="HM28" t="e">
        <f>AND(#REF!,"AAAAAD9P/9w=")</f>
        <v>#REF!</v>
      </c>
      <c r="HN28" t="e">
        <f>AND(#REF!,"AAAAAD9P/90=")</f>
        <v>#REF!</v>
      </c>
      <c r="HO28" t="e">
        <f>AND(#REF!,"AAAAAD9P/94=")</f>
        <v>#REF!</v>
      </c>
      <c r="HP28" t="e">
        <f>AND(#REF!,"AAAAAD9P/98=")</f>
        <v>#REF!</v>
      </c>
      <c r="HQ28" t="e">
        <f>AND(#REF!,"AAAAAD9P/+A=")</f>
        <v>#REF!</v>
      </c>
      <c r="HR28" t="e">
        <f>AND(#REF!,"AAAAAD9P/+E=")</f>
        <v>#REF!</v>
      </c>
      <c r="HS28" t="e">
        <f>AND(#REF!,"AAAAAD9P/+I=")</f>
        <v>#REF!</v>
      </c>
      <c r="HT28" t="e">
        <f>AND(#REF!,"AAAAAD9P/+M=")</f>
        <v>#REF!</v>
      </c>
      <c r="HU28" t="e">
        <f>IF(#REF!,"AAAAAD9P/+Q=",0)</f>
        <v>#REF!</v>
      </c>
      <c r="HV28" t="e">
        <f>AND(#REF!,"AAAAAD9P/+U=")</f>
        <v>#REF!</v>
      </c>
      <c r="HW28" t="e">
        <f>AND(#REF!,"AAAAAD9P/+Y=")</f>
        <v>#REF!</v>
      </c>
      <c r="HX28" t="e">
        <f>AND(#REF!,"AAAAAD9P/+c=")</f>
        <v>#REF!</v>
      </c>
      <c r="HY28" t="e">
        <f>AND(#REF!,"AAAAAD9P/+g=")</f>
        <v>#REF!</v>
      </c>
      <c r="HZ28" t="e">
        <f>AND(#REF!,"AAAAAD9P/+k=")</f>
        <v>#REF!</v>
      </c>
      <c r="IA28" t="e">
        <f>AND(#REF!,"AAAAAD9P/+o=")</f>
        <v>#REF!</v>
      </c>
      <c r="IB28" t="e">
        <f>AND(#REF!,"AAAAAD9P/+s=")</f>
        <v>#REF!</v>
      </c>
      <c r="IC28" t="e">
        <f>AND(#REF!,"AAAAAD9P/+w=")</f>
        <v>#REF!</v>
      </c>
      <c r="ID28" t="e">
        <f>AND(#REF!,"AAAAAD9P/+0=")</f>
        <v>#REF!</v>
      </c>
      <c r="IE28" t="e">
        <f>AND(#REF!,"AAAAAD9P/+4=")</f>
        <v>#REF!</v>
      </c>
      <c r="IF28" t="e">
        <f>AND(#REF!,"AAAAAD9P/+8=")</f>
        <v>#REF!</v>
      </c>
      <c r="IG28" t="e">
        <f>AND(#REF!,"AAAAAD9P//A=")</f>
        <v>#REF!</v>
      </c>
      <c r="IH28" t="e">
        <f>AND(#REF!,"AAAAAD9P//E=")</f>
        <v>#REF!</v>
      </c>
      <c r="II28" t="e">
        <f>AND(#REF!,"AAAAAD9P//I=")</f>
        <v>#REF!</v>
      </c>
      <c r="IJ28" t="e">
        <f>AND(#REF!,"AAAAAD9P//M=")</f>
        <v>#REF!</v>
      </c>
      <c r="IK28" t="e">
        <f>AND(#REF!,"AAAAAD9P//Q=")</f>
        <v>#REF!</v>
      </c>
      <c r="IL28" t="e">
        <f>AND(#REF!,"AAAAAD9P//U=")</f>
        <v>#REF!</v>
      </c>
      <c r="IM28" t="e">
        <f>AND(#REF!,"AAAAAD9P//Y=")</f>
        <v>#REF!</v>
      </c>
      <c r="IN28" t="e">
        <f>IF(#REF!,"AAAAAD9P//c=",0)</f>
        <v>#REF!</v>
      </c>
      <c r="IO28" t="e">
        <f>AND(#REF!,"AAAAAD9P//g=")</f>
        <v>#REF!</v>
      </c>
      <c r="IP28" t="e">
        <f>AND(#REF!,"AAAAAD9P//k=")</f>
        <v>#REF!</v>
      </c>
      <c r="IQ28" t="e">
        <f>AND(#REF!,"AAAAAD9P//o=")</f>
        <v>#REF!</v>
      </c>
      <c r="IR28" t="e">
        <f>AND(#REF!,"AAAAAD9P//s=")</f>
        <v>#REF!</v>
      </c>
      <c r="IS28" t="e">
        <f>AND(#REF!,"AAAAAD9P//w=")</f>
        <v>#REF!</v>
      </c>
      <c r="IT28" t="e">
        <f>AND(#REF!,"AAAAAD9P//0=")</f>
        <v>#REF!</v>
      </c>
      <c r="IU28" t="e">
        <f>AND(#REF!,"AAAAAD9P//4=")</f>
        <v>#REF!</v>
      </c>
      <c r="IV28" t="e">
        <f>AND(#REF!,"AAAAAD9P//8=")</f>
        <v>#REF!</v>
      </c>
    </row>
    <row r="29" spans="1:256" x14ac:dyDescent="0.15">
      <c r="A29" t="e">
        <f>AND(#REF!,"AAAAAH9v/gA=")</f>
        <v>#REF!</v>
      </c>
      <c r="B29" t="e">
        <f>AND(#REF!,"AAAAAH9v/gE=")</f>
        <v>#REF!</v>
      </c>
      <c r="C29" t="e">
        <f>AND(#REF!,"AAAAAH9v/gI=")</f>
        <v>#REF!</v>
      </c>
      <c r="D29" t="e">
        <f>AND(#REF!,"AAAAAH9v/gM=")</f>
        <v>#REF!</v>
      </c>
      <c r="E29" t="e">
        <f>AND(#REF!,"AAAAAH9v/gQ=")</f>
        <v>#REF!</v>
      </c>
      <c r="F29" t="e">
        <f>AND(#REF!,"AAAAAH9v/gU=")</f>
        <v>#REF!</v>
      </c>
      <c r="G29" t="e">
        <f>AND(#REF!,"AAAAAH9v/gY=")</f>
        <v>#REF!</v>
      </c>
      <c r="H29" t="e">
        <f>AND(#REF!,"AAAAAH9v/gc=")</f>
        <v>#REF!</v>
      </c>
      <c r="I29" t="e">
        <f>AND(#REF!,"AAAAAH9v/gg=")</f>
        <v>#REF!</v>
      </c>
      <c r="J29" t="e">
        <f>AND(#REF!,"AAAAAH9v/gk=")</f>
        <v>#REF!</v>
      </c>
      <c r="K29" t="e">
        <f>IF(#REF!,"AAAAAH9v/go=",0)</f>
        <v>#REF!</v>
      </c>
      <c r="L29" t="e">
        <f>AND(#REF!,"AAAAAH9v/gs=")</f>
        <v>#REF!</v>
      </c>
      <c r="M29" t="e">
        <f>AND(#REF!,"AAAAAH9v/gw=")</f>
        <v>#REF!</v>
      </c>
      <c r="N29" t="e">
        <f>AND(#REF!,"AAAAAH9v/g0=")</f>
        <v>#REF!</v>
      </c>
      <c r="O29" t="e">
        <f>AND(#REF!,"AAAAAH9v/g4=")</f>
        <v>#REF!</v>
      </c>
      <c r="P29" t="e">
        <f>AND(#REF!,"AAAAAH9v/g8=")</f>
        <v>#REF!</v>
      </c>
      <c r="Q29" t="e">
        <f>AND(#REF!,"AAAAAH9v/hA=")</f>
        <v>#REF!</v>
      </c>
      <c r="R29" t="e">
        <f>AND(#REF!,"AAAAAH9v/hE=")</f>
        <v>#REF!</v>
      </c>
      <c r="S29" t="e">
        <f>AND(#REF!,"AAAAAH9v/hI=")</f>
        <v>#REF!</v>
      </c>
      <c r="T29" t="e">
        <f>AND(#REF!,"AAAAAH9v/hM=")</f>
        <v>#REF!</v>
      </c>
      <c r="U29" t="e">
        <f>AND(#REF!,"AAAAAH9v/hQ=")</f>
        <v>#REF!</v>
      </c>
      <c r="V29" t="e">
        <f>AND(#REF!,"AAAAAH9v/hU=")</f>
        <v>#REF!</v>
      </c>
      <c r="W29" t="e">
        <f>AND(#REF!,"AAAAAH9v/hY=")</f>
        <v>#REF!</v>
      </c>
      <c r="X29" t="e">
        <f>AND(#REF!,"AAAAAH9v/hc=")</f>
        <v>#REF!</v>
      </c>
      <c r="Y29" t="e">
        <f>AND(#REF!,"AAAAAH9v/hg=")</f>
        <v>#REF!</v>
      </c>
      <c r="Z29" t="e">
        <f>AND(#REF!,"AAAAAH9v/hk=")</f>
        <v>#REF!</v>
      </c>
      <c r="AA29" t="e">
        <f>AND(#REF!,"AAAAAH9v/ho=")</f>
        <v>#REF!</v>
      </c>
      <c r="AB29" t="e">
        <f>AND(#REF!,"AAAAAH9v/hs=")</f>
        <v>#REF!</v>
      </c>
      <c r="AC29" t="e">
        <f>AND(#REF!,"AAAAAH9v/hw=")</f>
        <v>#REF!</v>
      </c>
      <c r="AD29" t="e">
        <f>IF(#REF!,"AAAAAH9v/h0=",0)</f>
        <v>#REF!</v>
      </c>
      <c r="AE29" t="e">
        <f>AND(#REF!,"AAAAAH9v/h4=")</f>
        <v>#REF!</v>
      </c>
      <c r="AF29" t="e">
        <f>AND(#REF!,"AAAAAH9v/h8=")</f>
        <v>#REF!</v>
      </c>
      <c r="AG29" t="e">
        <f>AND(#REF!,"AAAAAH9v/iA=")</f>
        <v>#REF!</v>
      </c>
      <c r="AH29" t="e">
        <f>AND(#REF!,"AAAAAH9v/iE=")</f>
        <v>#REF!</v>
      </c>
      <c r="AI29" t="e">
        <f>AND(#REF!,"AAAAAH9v/iI=")</f>
        <v>#REF!</v>
      </c>
      <c r="AJ29" t="e">
        <f>AND(#REF!,"AAAAAH9v/iM=")</f>
        <v>#REF!</v>
      </c>
      <c r="AK29" t="e">
        <f>AND(#REF!,"AAAAAH9v/iQ=")</f>
        <v>#REF!</v>
      </c>
      <c r="AL29" t="e">
        <f>AND(#REF!,"AAAAAH9v/iU=")</f>
        <v>#REF!</v>
      </c>
      <c r="AM29" t="e">
        <f>AND(#REF!,"AAAAAH9v/iY=")</f>
        <v>#REF!</v>
      </c>
      <c r="AN29" t="e">
        <f>AND(#REF!,"AAAAAH9v/ic=")</f>
        <v>#REF!</v>
      </c>
      <c r="AO29" t="e">
        <f>AND(#REF!,"AAAAAH9v/ig=")</f>
        <v>#REF!</v>
      </c>
      <c r="AP29" t="e">
        <f>AND(#REF!,"AAAAAH9v/ik=")</f>
        <v>#REF!</v>
      </c>
      <c r="AQ29" t="e">
        <f>AND(#REF!,"AAAAAH9v/io=")</f>
        <v>#REF!</v>
      </c>
      <c r="AR29" t="e">
        <f>AND(#REF!,"AAAAAH9v/is=")</f>
        <v>#REF!</v>
      </c>
      <c r="AS29" t="e">
        <f>AND(#REF!,"AAAAAH9v/iw=")</f>
        <v>#REF!</v>
      </c>
      <c r="AT29" t="e">
        <f>AND(#REF!,"AAAAAH9v/i0=")</f>
        <v>#REF!</v>
      </c>
      <c r="AU29" t="e">
        <f>AND(#REF!,"AAAAAH9v/i4=")</f>
        <v>#REF!</v>
      </c>
      <c r="AV29" t="e">
        <f>AND(#REF!,"AAAAAH9v/i8=")</f>
        <v>#REF!</v>
      </c>
      <c r="AW29" t="e">
        <f>IF(#REF!,"AAAAAH9v/jA=",0)</f>
        <v>#REF!</v>
      </c>
      <c r="AX29" t="e">
        <f>AND(#REF!,"AAAAAH9v/jE=")</f>
        <v>#REF!</v>
      </c>
      <c r="AY29" t="e">
        <f>AND(#REF!,"AAAAAH9v/jI=")</f>
        <v>#REF!</v>
      </c>
      <c r="AZ29" t="e">
        <f>AND(#REF!,"AAAAAH9v/jM=")</f>
        <v>#REF!</v>
      </c>
      <c r="BA29" t="e">
        <f>AND(#REF!,"AAAAAH9v/jQ=")</f>
        <v>#REF!</v>
      </c>
      <c r="BB29" t="e">
        <f>AND(#REF!,"AAAAAH9v/jU=")</f>
        <v>#REF!</v>
      </c>
      <c r="BC29" t="e">
        <f>AND(#REF!,"AAAAAH9v/jY=")</f>
        <v>#REF!</v>
      </c>
      <c r="BD29" t="e">
        <f>AND(#REF!,"AAAAAH9v/jc=")</f>
        <v>#REF!</v>
      </c>
      <c r="BE29" t="e">
        <f>AND(#REF!,"AAAAAH9v/jg=")</f>
        <v>#REF!</v>
      </c>
      <c r="BF29" t="e">
        <f>AND(#REF!,"AAAAAH9v/jk=")</f>
        <v>#REF!</v>
      </c>
      <c r="BG29" t="e">
        <f>AND(#REF!,"AAAAAH9v/jo=")</f>
        <v>#REF!</v>
      </c>
      <c r="BH29" t="e">
        <f>AND(#REF!,"AAAAAH9v/js=")</f>
        <v>#REF!</v>
      </c>
      <c r="BI29" t="e">
        <f>AND(#REF!,"AAAAAH9v/jw=")</f>
        <v>#REF!</v>
      </c>
      <c r="BJ29" t="e">
        <f>AND(#REF!,"AAAAAH9v/j0=")</f>
        <v>#REF!</v>
      </c>
      <c r="BK29" t="e">
        <f>AND(#REF!,"AAAAAH9v/j4=")</f>
        <v>#REF!</v>
      </c>
      <c r="BL29" t="e">
        <f>AND(#REF!,"AAAAAH9v/j8=")</f>
        <v>#REF!</v>
      </c>
      <c r="BM29" t="e">
        <f>AND(#REF!,"AAAAAH9v/kA=")</f>
        <v>#REF!</v>
      </c>
      <c r="BN29" t="e">
        <f>AND(#REF!,"AAAAAH9v/kE=")</f>
        <v>#REF!</v>
      </c>
      <c r="BO29" t="e">
        <f>AND(#REF!,"AAAAAH9v/kI=")</f>
        <v>#REF!</v>
      </c>
      <c r="BP29" t="e">
        <f>IF(#REF!,"AAAAAH9v/kM=",0)</f>
        <v>#REF!</v>
      </c>
      <c r="BQ29" t="e">
        <f>AND(#REF!,"AAAAAH9v/kQ=")</f>
        <v>#REF!</v>
      </c>
      <c r="BR29" t="e">
        <f>AND(#REF!,"AAAAAH9v/kU=")</f>
        <v>#REF!</v>
      </c>
      <c r="BS29" t="e">
        <f>AND(#REF!,"AAAAAH9v/kY=")</f>
        <v>#REF!</v>
      </c>
      <c r="BT29" t="e">
        <f>AND(#REF!,"AAAAAH9v/kc=")</f>
        <v>#REF!</v>
      </c>
      <c r="BU29" t="e">
        <f>AND(#REF!,"AAAAAH9v/kg=")</f>
        <v>#REF!</v>
      </c>
      <c r="BV29" t="e">
        <f>AND(#REF!,"AAAAAH9v/kk=")</f>
        <v>#REF!</v>
      </c>
      <c r="BW29" t="e">
        <f>AND(#REF!,"AAAAAH9v/ko=")</f>
        <v>#REF!</v>
      </c>
      <c r="BX29" t="e">
        <f>AND(#REF!,"AAAAAH9v/ks=")</f>
        <v>#REF!</v>
      </c>
      <c r="BY29" t="e">
        <f>AND(#REF!,"AAAAAH9v/kw=")</f>
        <v>#REF!</v>
      </c>
      <c r="BZ29" t="e">
        <f>AND(#REF!,"AAAAAH9v/k0=")</f>
        <v>#REF!</v>
      </c>
      <c r="CA29" t="e">
        <f>AND(#REF!,"AAAAAH9v/k4=")</f>
        <v>#REF!</v>
      </c>
      <c r="CB29" t="e">
        <f>AND(#REF!,"AAAAAH9v/k8=")</f>
        <v>#REF!</v>
      </c>
      <c r="CC29" t="e">
        <f>AND(#REF!,"AAAAAH9v/lA=")</f>
        <v>#REF!</v>
      </c>
      <c r="CD29" t="e">
        <f>AND(#REF!,"AAAAAH9v/lE=")</f>
        <v>#REF!</v>
      </c>
      <c r="CE29" t="e">
        <f>AND(#REF!,"AAAAAH9v/lI=")</f>
        <v>#REF!</v>
      </c>
      <c r="CF29" t="e">
        <f>AND(#REF!,"AAAAAH9v/lM=")</f>
        <v>#REF!</v>
      </c>
      <c r="CG29" t="e">
        <f>AND(#REF!,"AAAAAH9v/lQ=")</f>
        <v>#REF!</v>
      </c>
      <c r="CH29" t="e">
        <f>AND(#REF!,"AAAAAH9v/lU=")</f>
        <v>#REF!</v>
      </c>
      <c r="CI29" t="e">
        <f>IF(#REF!,"AAAAAH9v/lY=",0)</f>
        <v>#REF!</v>
      </c>
      <c r="CJ29" t="e">
        <f>AND(#REF!,"AAAAAH9v/lc=")</f>
        <v>#REF!</v>
      </c>
      <c r="CK29" t="e">
        <f>AND(#REF!,"AAAAAH9v/lg=")</f>
        <v>#REF!</v>
      </c>
      <c r="CL29" t="e">
        <f>AND(#REF!,"AAAAAH9v/lk=")</f>
        <v>#REF!</v>
      </c>
      <c r="CM29" t="e">
        <f>AND(#REF!,"AAAAAH9v/lo=")</f>
        <v>#REF!</v>
      </c>
      <c r="CN29" t="e">
        <f>AND(#REF!,"AAAAAH9v/ls=")</f>
        <v>#REF!</v>
      </c>
      <c r="CO29" t="e">
        <f>AND(#REF!,"AAAAAH9v/lw=")</f>
        <v>#REF!</v>
      </c>
      <c r="CP29" t="e">
        <f>AND(#REF!,"AAAAAH9v/l0=")</f>
        <v>#REF!</v>
      </c>
      <c r="CQ29" t="e">
        <f>AND(#REF!,"AAAAAH9v/l4=")</f>
        <v>#REF!</v>
      </c>
      <c r="CR29" t="e">
        <f>AND(#REF!,"AAAAAH9v/l8=")</f>
        <v>#REF!</v>
      </c>
      <c r="CS29" t="e">
        <f>AND(#REF!,"AAAAAH9v/mA=")</f>
        <v>#REF!</v>
      </c>
      <c r="CT29" t="e">
        <f>AND(#REF!,"AAAAAH9v/mE=")</f>
        <v>#REF!</v>
      </c>
      <c r="CU29" t="e">
        <f>AND(#REF!,"AAAAAH9v/mI=")</f>
        <v>#REF!</v>
      </c>
      <c r="CV29" t="e">
        <f>AND(#REF!,"AAAAAH9v/mM=")</f>
        <v>#REF!</v>
      </c>
      <c r="CW29" t="e">
        <f>AND(#REF!,"AAAAAH9v/mQ=")</f>
        <v>#REF!</v>
      </c>
      <c r="CX29" t="e">
        <f>AND(#REF!,"AAAAAH9v/mU=")</f>
        <v>#REF!</v>
      </c>
      <c r="CY29" t="e">
        <f>AND(#REF!,"AAAAAH9v/mY=")</f>
        <v>#REF!</v>
      </c>
      <c r="CZ29" t="e">
        <f>AND(#REF!,"AAAAAH9v/mc=")</f>
        <v>#REF!</v>
      </c>
      <c r="DA29" t="e">
        <f>AND(#REF!,"AAAAAH9v/mg=")</f>
        <v>#REF!</v>
      </c>
      <c r="DB29" t="e">
        <f>IF(#REF!,"AAAAAH9v/mk=",0)</f>
        <v>#REF!</v>
      </c>
      <c r="DC29" t="e">
        <f>AND(#REF!,"AAAAAH9v/mo=")</f>
        <v>#REF!</v>
      </c>
      <c r="DD29" t="e">
        <f>AND(#REF!,"AAAAAH9v/ms=")</f>
        <v>#REF!</v>
      </c>
      <c r="DE29" t="e">
        <f>AND(#REF!,"AAAAAH9v/mw=")</f>
        <v>#REF!</v>
      </c>
      <c r="DF29" t="e">
        <f>AND(#REF!,"AAAAAH9v/m0=")</f>
        <v>#REF!</v>
      </c>
      <c r="DG29" t="e">
        <f>AND(#REF!,"AAAAAH9v/m4=")</f>
        <v>#REF!</v>
      </c>
      <c r="DH29" t="e">
        <f>AND(#REF!,"AAAAAH9v/m8=")</f>
        <v>#REF!</v>
      </c>
      <c r="DI29" t="e">
        <f>AND(#REF!,"AAAAAH9v/nA=")</f>
        <v>#REF!</v>
      </c>
      <c r="DJ29" t="e">
        <f>AND(#REF!,"AAAAAH9v/nE=")</f>
        <v>#REF!</v>
      </c>
      <c r="DK29" t="e">
        <f>AND(#REF!,"AAAAAH9v/nI=")</f>
        <v>#REF!</v>
      </c>
      <c r="DL29" t="e">
        <f>AND(#REF!,"AAAAAH9v/nM=")</f>
        <v>#REF!</v>
      </c>
      <c r="DM29" t="e">
        <f>AND(#REF!,"AAAAAH9v/nQ=")</f>
        <v>#REF!</v>
      </c>
      <c r="DN29" t="e">
        <f>AND(#REF!,"AAAAAH9v/nU=")</f>
        <v>#REF!</v>
      </c>
      <c r="DO29" t="e">
        <f>AND(#REF!,"AAAAAH9v/nY=")</f>
        <v>#REF!</v>
      </c>
      <c r="DP29" t="e">
        <f>AND(#REF!,"AAAAAH9v/nc=")</f>
        <v>#REF!</v>
      </c>
      <c r="DQ29" t="e">
        <f>AND(#REF!,"AAAAAH9v/ng=")</f>
        <v>#REF!</v>
      </c>
      <c r="DR29" t="e">
        <f>AND(#REF!,"AAAAAH9v/nk=")</f>
        <v>#REF!</v>
      </c>
      <c r="DS29" t="e">
        <f>AND(#REF!,"AAAAAH9v/no=")</f>
        <v>#REF!</v>
      </c>
      <c r="DT29" t="e">
        <f>AND(#REF!,"AAAAAH9v/ns=")</f>
        <v>#REF!</v>
      </c>
      <c r="DU29" t="e">
        <f>IF(#REF!,"AAAAAH9v/nw=",0)</f>
        <v>#REF!</v>
      </c>
      <c r="DV29" t="e">
        <f>AND(#REF!,"AAAAAH9v/n0=")</f>
        <v>#REF!</v>
      </c>
      <c r="DW29" t="e">
        <f>AND(#REF!,"AAAAAH9v/n4=")</f>
        <v>#REF!</v>
      </c>
      <c r="DX29" t="e">
        <f>AND(#REF!,"AAAAAH9v/n8=")</f>
        <v>#REF!</v>
      </c>
      <c r="DY29" t="e">
        <f>AND(#REF!,"AAAAAH9v/oA=")</f>
        <v>#REF!</v>
      </c>
      <c r="DZ29" t="e">
        <f>AND(#REF!,"AAAAAH9v/oE=")</f>
        <v>#REF!</v>
      </c>
      <c r="EA29" t="e">
        <f>AND(#REF!,"AAAAAH9v/oI=")</f>
        <v>#REF!</v>
      </c>
      <c r="EB29" t="e">
        <f>AND(#REF!,"AAAAAH9v/oM=")</f>
        <v>#REF!</v>
      </c>
      <c r="EC29" t="e">
        <f>AND(#REF!,"AAAAAH9v/oQ=")</f>
        <v>#REF!</v>
      </c>
      <c r="ED29" t="e">
        <f>AND(#REF!,"AAAAAH9v/oU=")</f>
        <v>#REF!</v>
      </c>
      <c r="EE29" t="e">
        <f>AND(#REF!,"AAAAAH9v/oY=")</f>
        <v>#REF!</v>
      </c>
      <c r="EF29" t="e">
        <f>AND(#REF!,"AAAAAH9v/oc=")</f>
        <v>#REF!</v>
      </c>
      <c r="EG29" t="e">
        <f>AND(#REF!,"AAAAAH9v/og=")</f>
        <v>#REF!</v>
      </c>
      <c r="EH29" t="e">
        <f>AND(#REF!,"AAAAAH9v/ok=")</f>
        <v>#REF!</v>
      </c>
      <c r="EI29" t="e">
        <f>AND(#REF!,"AAAAAH9v/oo=")</f>
        <v>#REF!</v>
      </c>
      <c r="EJ29" t="e">
        <f>AND(#REF!,"AAAAAH9v/os=")</f>
        <v>#REF!</v>
      </c>
      <c r="EK29" t="e">
        <f>AND(#REF!,"AAAAAH9v/ow=")</f>
        <v>#REF!</v>
      </c>
      <c r="EL29" t="e">
        <f>AND(#REF!,"AAAAAH9v/o0=")</f>
        <v>#REF!</v>
      </c>
      <c r="EM29" t="e">
        <f>AND(#REF!,"AAAAAH9v/o4=")</f>
        <v>#REF!</v>
      </c>
      <c r="EN29" t="e">
        <f>IF(#REF!,"AAAAAH9v/o8=",0)</f>
        <v>#REF!</v>
      </c>
      <c r="EO29" t="e">
        <f>AND(#REF!,"AAAAAH9v/pA=")</f>
        <v>#REF!</v>
      </c>
      <c r="EP29" t="e">
        <f>AND(#REF!,"AAAAAH9v/pE=")</f>
        <v>#REF!</v>
      </c>
      <c r="EQ29" t="e">
        <f>AND(#REF!,"AAAAAH9v/pI=")</f>
        <v>#REF!</v>
      </c>
      <c r="ER29" t="e">
        <f>AND(#REF!,"AAAAAH9v/pM=")</f>
        <v>#REF!</v>
      </c>
      <c r="ES29" t="e">
        <f>AND(#REF!,"AAAAAH9v/pQ=")</f>
        <v>#REF!</v>
      </c>
      <c r="ET29" t="e">
        <f>AND(#REF!,"AAAAAH9v/pU=")</f>
        <v>#REF!</v>
      </c>
      <c r="EU29" t="e">
        <f>AND(#REF!,"AAAAAH9v/pY=")</f>
        <v>#REF!</v>
      </c>
      <c r="EV29" t="e">
        <f>AND(#REF!,"AAAAAH9v/pc=")</f>
        <v>#REF!</v>
      </c>
      <c r="EW29" t="e">
        <f>AND(#REF!,"AAAAAH9v/pg=")</f>
        <v>#REF!</v>
      </c>
      <c r="EX29" t="e">
        <f>AND(#REF!,"AAAAAH9v/pk=")</f>
        <v>#REF!</v>
      </c>
      <c r="EY29" t="e">
        <f>AND(#REF!,"AAAAAH9v/po=")</f>
        <v>#REF!</v>
      </c>
      <c r="EZ29" t="e">
        <f>AND(#REF!,"AAAAAH9v/ps=")</f>
        <v>#REF!</v>
      </c>
      <c r="FA29" t="e">
        <f>AND(#REF!,"AAAAAH9v/pw=")</f>
        <v>#REF!</v>
      </c>
      <c r="FB29" t="e">
        <f>AND(#REF!,"AAAAAH9v/p0=")</f>
        <v>#REF!</v>
      </c>
      <c r="FC29" t="e">
        <f>AND(#REF!,"AAAAAH9v/p4=")</f>
        <v>#REF!</v>
      </c>
      <c r="FD29" t="e">
        <f>AND(#REF!,"AAAAAH9v/p8=")</f>
        <v>#REF!</v>
      </c>
      <c r="FE29" t="e">
        <f>AND(#REF!,"AAAAAH9v/qA=")</f>
        <v>#REF!</v>
      </c>
      <c r="FF29" t="e">
        <f>AND(#REF!,"AAAAAH9v/qE=")</f>
        <v>#REF!</v>
      </c>
      <c r="FG29" t="e">
        <f>IF(#REF!,"AAAAAH9v/qI=",0)</f>
        <v>#REF!</v>
      </c>
      <c r="FH29" t="e">
        <f>AND(#REF!,"AAAAAH9v/qM=")</f>
        <v>#REF!</v>
      </c>
      <c r="FI29" t="e">
        <f>AND(#REF!,"AAAAAH9v/qQ=")</f>
        <v>#REF!</v>
      </c>
      <c r="FJ29" t="e">
        <f>AND(#REF!,"AAAAAH9v/qU=")</f>
        <v>#REF!</v>
      </c>
      <c r="FK29" t="e">
        <f>AND(#REF!,"AAAAAH9v/qY=")</f>
        <v>#REF!</v>
      </c>
      <c r="FL29" t="e">
        <f>AND(#REF!,"AAAAAH9v/qc=")</f>
        <v>#REF!</v>
      </c>
      <c r="FM29" t="e">
        <f>AND(#REF!,"AAAAAH9v/qg=")</f>
        <v>#REF!</v>
      </c>
      <c r="FN29" t="e">
        <f>AND(#REF!,"AAAAAH9v/qk=")</f>
        <v>#REF!</v>
      </c>
      <c r="FO29" t="e">
        <f>AND(#REF!,"AAAAAH9v/qo=")</f>
        <v>#REF!</v>
      </c>
      <c r="FP29" t="e">
        <f>AND(#REF!,"AAAAAH9v/qs=")</f>
        <v>#REF!</v>
      </c>
      <c r="FQ29" t="e">
        <f>AND(#REF!,"AAAAAH9v/qw=")</f>
        <v>#REF!</v>
      </c>
      <c r="FR29" t="e">
        <f>AND(#REF!,"AAAAAH9v/q0=")</f>
        <v>#REF!</v>
      </c>
      <c r="FS29" t="e">
        <f>AND(#REF!,"AAAAAH9v/q4=")</f>
        <v>#REF!</v>
      </c>
      <c r="FT29" t="e">
        <f>AND(#REF!,"AAAAAH9v/q8=")</f>
        <v>#REF!</v>
      </c>
      <c r="FU29" t="e">
        <f>AND(#REF!,"AAAAAH9v/rA=")</f>
        <v>#REF!</v>
      </c>
      <c r="FV29" t="e">
        <f>AND(#REF!,"AAAAAH9v/rE=")</f>
        <v>#REF!</v>
      </c>
      <c r="FW29" t="e">
        <f>AND(#REF!,"AAAAAH9v/rI=")</f>
        <v>#REF!</v>
      </c>
      <c r="FX29" t="e">
        <f>AND(#REF!,"AAAAAH9v/rM=")</f>
        <v>#REF!</v>
      </c>
      <c r="FY29" t="e">
        <f>AND(#REF!,"AAAAAH9v/rQ=")</f>
        <v>#REF!</v>
      </c>
      <c r="FZ29" t="e">
        <f>IF(#REF!,"AAAAAH9v/rU=",0)</f>
        <v>#REF!</v>
      </c>
      <c r="GA29" t="e">
        <f>AND(#REF!,"AAAAAH9v/rY=")</f>
        <v>#REF!</v>
      </c>
      <c r="GB29" t="e">
        <f>AND(#REF!,"AAAAAH9v/rc=")</f>
        <v>#REF!</v>
      </c>
      <c r="GC29" t="e">
        <f>AND(#REF!,"AAAAAH9v/rg=")</f>
        <v>#REF!</v>
      </c>
      <c r="GD29" t="e">
        <f>AND(#REF!,"AAAAAH9v/rk=")</f>
        <v>#REF!</v>
      </c>
      <c r="GE29" t="e">
        <f>AND(#REF!,"AAAAAH9v/ro=")</f>
        <v>#REF!</v>
      </c>
      <c r="GF29" t="e">
        <f>AND(#REF!,"AAAAAH9v/rs=")</f>
        <v>#REF!</v>
      </c>
      <c r="GG29" t="e">
        <f>AND(#REF!,"AAAAAH9v/rw=")</f>
        <v>#REF!</v>
      </c>
      <c r="GH29" t="e">
        <f>AND(#REF!,"AAAAAH9v/r0=")</f>
        <v>#REF!</v>
      </c>
      <c r="GI29" t="e">
        <f>AND(#REF!,"AAAAAH9v/r4=")</f>
        <v>#REF!</v>
      </c>
      <c r="GJ29" t="e">
        <f>AND(#REF!,"AAAAAH9v/r8=")</f>
        <v>#REF!</v>
      </c>
      <c r="GK29" t="e">
        <f>AND(#REF!,"AAAAAH9v/sA=")</f>
        <v>#REF!</v>
      </c>
      <c r="GL29" t="e">
        <f>AND(#REF!,"AAAAAH9v/sE=")</f>
        <v>#REF!</v>
      </c>
      <c r="GM29" t="e">
        <f>AND(#REF!,"AAAAAH9v/sI=")</f>
        <v>#REF!</v>
      </c>
      <c r="GN29" t="e">
        <f>AND(#REF!,"AAAAAH9v/sM=")</f>
        <v>#REF!</v>
      </c>
      <c r="GO29" t="e">
        <f>AND(#REF!,"AAAAAH9v/sQ=")</f>
        <v>#REF!</v>
      </c>
      <c r="GP29" t="e">
        <f>AND(#REF!,"AAAAAH9v/sU=")</f>
        <v>#REF!</v>
      </c>
      <c r="GQ29" t="e">
        <f>AND(#REF!,"AAAAAH9v/sY=")</f>
        <v>#REF!</v>
      </c>
      <c r="GR29" t="e">
        <f>AND(#REF!,"AAAAAH9v/sc=")</f>
        <v>#REF!</v>
      </c>
      <c r="GS29" t="e">
        <f>IF(#REF!,"AAAAAH9v/sg=",0)</f>
        <v>#REF!</v>
      </c>
      <c r="GT29" t="e">
        <f>AND(#REF!,"AAAAAH9v/sk=")</f>
        <v>#REF!</v>
      </c>
      <c r="GU29" t="e">
        <f>AND(#REF!,"AAAAAH9v/so=")</f>
        <v>#REF!</v>
      </c>
      <c r="GV29" t="e">
        <f>AND(#REF!,"AAAAAH9v/ss=")</f>
        <v>#REF!</v>
      </c>
      <c r="GW29" t="e">
        <f>AND(#REF!,"AAAAAH9v/sw=")</f>
        <v>#REF!</v>
      </c>
      <c r="GX29" t="e">
        <f>AND(#REF!,"AAAAAH9v/s0=")</f>
        <v>#REF!</v>
      </c>
      <c r="GY29" t="e">
        <f>AND(#REF!,"AAAAAH9v/s4=")</f>
        <v>#REF!</v>
      </c>
      <c r="GZ29" t="e">
        <f>AND(#REF!,"AAAAAH9v/s8=")</f>
        <v>#REF!</v>
      </c>
      <c r="HA29" t="e">
        <f>AND(#REF!,"AAAAAH9v/tA=")</f>
        <v>#REF!</v>
      </c>
      <c r="HB29" t="e">
        <f>AND(#REF!,"AAAAAH9v/tE=")</f>
        <v>#REF!</v>
      </c>
      <c r="HC29" t="e">
        <f>AND(#REF!,"AAAAAH9v/tI=")</f>
        <v>#REF!</v>
      </c>
      <c r="HD29" t="e">
        <f>AND(#REF!,"AAAAAH9v/tM=")</f>
        <v>#REF!</v>
      </c>
      <c r="HE29" t="e">
        <f>AND(#REF!,"AAAAAH9v/tQ=")</f>
        <v>#REF!</v>
      </c>
      <c r="HF29" t="e">
        <f>AND(#REF!,"AAAAAH9v/tU=")</f>
        <v>#REF!</v>
      </c>
      <c r="HG29" t="e">
        <f>AND(#REF!,"AAAAAH9v/tY=")</f>
        <v>#REF!</v>
      </c>
      <c r="HH29" t="e">
        <f>AND(#REF!,"AAAAAH9v/tc=")</f>
        <v>#REF!</v>
      </c>
      <c r="HI29" t="e">
        <f>AND(#REF!,"AAAAAH9v/tg=")</f>
        <v>#REF!</v>
      </c>
      <c r="HJ29" t="e">
        <f>AND(#REF!,"AAAAAH9v/tk=")</f>
        <v>#REF!</v>
      </c>
      <c r="HK29" t="e">
        <f>AND(#REF!,"AAAAAH9v/to=")</f>
        <v>#REF!</v>
      </c>
      <c r="HL29" t="e">
        <f>IF(#REF!,"AAAAAH9v/ts=",0)</f>
        <v>#REF!</v>
      </c>
      <c r="HM29" t="e">
        <f>AND(#REF!,"AAAAAH9v/tw=")</f>
        <v>#REF!</v>
      </c>
      <c r="HN29" t="e">
        <f>AND(#REF!,"AAAAAH9v/t0=")</f>
        <v>#REF!</v>
      </c>
      <c r="HO29" t="e">
        <f>AND(#REF!,"AAAAAH9v/t4=")</f>
        <v>#REF!</v>
      </c>
      <c r="HP29" t="e">
        <f>AND(#REF!,"AAAAAH9v/t8=")</f>
        <v>#REF!</v>
      </c>
      <c r="HQ29" t="e">
        <f>AND(#REF!,"AAAAAH9v/uA=")</f>
        <v>#REF!</v>
      </c>
      <c r="HR29" t="e">
        <f>AND(#REF!,"AAAAAH9v/uE=")</f>
        <v>#REF!</v>
      </c>
      <c r="HS29" t="e">
        <f>AND(#REF!,"AAAAAH9v/uI=")</f>
        <v>#REF!</v>
      </c>
      <c r="HT29" t="e">
        <f>AND(#REF!,"AAAAAH9v/uM=")</f>
        <v>#REF!</v>
      </c>
      <c r="HU29" t="e">
        <f>AND(#REF!,"AAAAAH9v/uQ=")</f>
        <v>#REF!</v>
      </c>
      <c r="HV29" t="e">
        <f>AND(#REF!,"AAAAAH9v/uU=")</f>
        <v>#REF!</v>
      </c>
      <c r="HW29" t="e">
        <f>AND(#REF!,"AAAAAH9v/uY=")</f>
        <v>#REF!</v>
      </c>
      <c r="HX29" t="e">
        <f>AND(#REF!,"AAAAAH9v/uc=")</f>
        <v>#REF!</v>
      </c>
      <c r="HY29" t="e">
        <f>AND(#REF!,"AAAAAH9v/ug=")</f>
        <v>#REF!</v>
      </c>
      <c r="HZ29" t="e">
        <f>AND(#REF!,"AAAAAH9v/uk=")</f>
        <v>#REF!</v>
      </c>
      <c r="IA29" t="e">
        <f>AND(#REF!,"AAAAAH9v/uo=")</f>
        <v>#REF!</v>
      </c>
      <c r="IB29" t="e">
        <f>AND(#REF!,"AAAAAH9v/us=")</f>
        <v>#REF!</v>
      </c>
      <c r="IC29" t="e">
        <f>AND(#REF!,"AAAAAH9v/uw=")</f>
        <v>#REF!</v>
      </c>
      <c r="ID29" t="e">
        <f>AND(#REF!,"AAAAAH9v/u0=")</f>
        <v>#REF!</v>
      </c>
      <c r="IE29" t="e">
        <f>IF(#REF!,"AAAAAH9v/u4=",0)</f>
        <v>#REF!</v>
      </c>
      <c r="IF29" t="e">
        <f>AND(#REF!,"AAAAAH9v/u8=")</f>
        <v>#REF!</v>
      </c>
      <c r="IG29" t="e">
        <f>AND(#REF!,"AAAAAH9v/vA=")</f>
        <v>#REF!</v>
      </c>
      <c r="IH29" t="e">
        <f>AND(#REF!,"AAAAAH9v/vE=")</f>
        <v>#REF!</v>
      </c>
      <c r="II29" t="e">
        <f>AND(#REF!,"AAAAAH9v/vI=")</f>
        <v>#REF!</v>
      </c>
      <c r="IJ29" t="e">
        <f>AND(#REF!,"AAAAAH9v/vM=")</f>
        <v>#REF!</v>
      </c>
      <c r="IK29" t="e">
        <f>AND(#REF!,"AAAAAH9v/vQ=")</f>
        <v>#REF!</v>
      </c>
      <c r="IL29" t="e">
        <f>AND(#REF!,"AAAAAH9v/vU=")</f>
        <v>#REF!</v>
      </c>
      <c r="IM29" t="e">
        <f>AND(#REF!,"AAAAAH9v/vY=")</f>
        <v>#REF!</v>
      </c>
      <c r="IN29" t="e">
        <f>AND(#REF!,"AAAAAH9v/vc=")</f>
        <v>#REF!</v>
      </c>
      <c r="IO29" t="e">
        <f>AND(#REF!,"AAAAAH9v/vg=")</f>
        <v>#REF!</v>
      </c>
      <c r="IP29" t="e">
        <f>AND(#REF!,"AAAAAH9v/vk=")</f>
        <v>#REF!</v>
      </c>
      <c r="IQ29" t="e">
        <f>AND(#REF!,"AAAAAH9v/vo=")</f>
        <v>#REF!</v>
      </c>
      <c r="IR29" t="e">
        <f>AND(#REF!,"AAAAAH9v/vs=")</f>
        <v>#REF!</v>
      </c>
      <c r="IS29" t="e">
        <f>AND(#REF!,"AAAAAH9v/vw=")</f>
        <v>#REF!</v>
      </c>
      <c r="IT29" t="e">
        <f>AND(#REF!,"AAAAAH9v/v0=")</f>
        <v>#REF!</v>
      </c>
      <c r="IU29" t="e">
        <f>AND(#REF!,"AAAAAH9v/v4=")</f>
        <v>#REF!</v>
      </c>
      <c r="IV29" t="e">
        <f>AND(#REF!,"AAAAAH9v/v8=")</f>
        <v>#REF!</v>
      </c>
    </row>
    <row r="30" spans="1:256" x14ac:dyDescent="0.15">
      <c r="A30" t="e">
        <f>AND(#REF!,"AAAAAHp23wA=")</f>
        <v>#REF!</v>
      </c>
      <c r="B30" t="e">
        <f>IF(#REF!,"AAAAAHp23wE=",0)</f>
        <v>#REF!</v>
      </c>
      <c r="C30" t="e">
        <f>AND(#REF!,"AAAAAHp23wI=")</f>
        <v>#REF!</v>
      </c>
      <c r="D30" t="e">
        <f>AND(#REF!,"AAAAAHp23wM=")</f>
        <v>#REF!</v>
      </c>
      <c r="E30" t="e">
        <f>AND(#REF!,"AAAAAHp23wQ=")</f>
        <v>#REF!</v>
      </c>
      <c r="F30" t="e">
        <f>AND(#REF!,"AAAAAHp23wU=")</f>
        <v>#REF!</v>
      </c>
      <c r="G30" t="e">
        <f>AND(#REF!,"AAAAAHp23wY=")</f>
        <v>#REF!</v>
      </c>
      <c r="H30" t="e">
        <f>AND(#REF!,"AAAAAHp23wc=")</f>
        <v>#REF!</v>
      </c>
      <c r="I30" t="e">
        <f>AND(#REF!,"AAAAAHp23wg=")</f>
        <v>#REF!</v>
      </c>
      <c r="J30" t="e">
        <f>AND(#REF!,"AAAAAHp23wk=")</f>
        <v>#REF!</v>
      </c>
      <c r="K30" t="e">
        <f>AND(#REF!,"AAAAAHp23wo=")</f>
        <v>#REF!</v>
      </c>
      <c r="L30" t="e">
        <f>AND(#REF!,"AAAAAHp23ws=")</f>
        <v>#REF!</v>
      </c>
      <c r="M30" t="e">
        <f>AND(#REF!,"AAAAAHp23ww=")</f>
        <v>#REF!</v>
      </c>
      <c r="N30" t="e">
        <f>AND(#REF!,"AAAAAHp23w0=")</f>
        <v>#REF!</v>
      </c>
      <c r="O30" t="e">
        <f>AND(#REF!,"AAAAAHp23w4=")</f>
        <v>#REF!</v>
      </c>
      <c r="P30" t="e">
        <f>AND(#REF!,"AAAAAHp23w8=")</f>
        <v>#REF!</v>
      </c>
      <c r="Q30" t="e">
        <f>AND(#REF!,"AAAAAHp23xA=")</f>
        <v>#REF!</v>
      </c>
      <c r="R30" t="e">
        <f>AND(#REF!,"AAAAAHp23xE=")</f>
        <v>#REF!</v>
      </c>
      <c r="S30" t="e">
        <f>AND(#REF!,"AAAAAHp23xI=")</f>
        <v>#REF!</v>
      </c>
      <c r="T30" t="e">
        <f>AND(#REF!,"AAAAAHp23xM=")</f>
        <v>#REF!</v>
      </c>
      <c r="U30" t="e">
        <f>IF(#REF!,"AAAAAHp23xQ=",0)</f>
        <v>#REF!</v>
      </c>
      <c r="V30" t="e">
        <f>AND(#REF!,"AAAAAHp23xU=")</f>
        <v>#REF!</v>
      </c>
      <c r="W30" t="e">
        <f>AND(#REF!,"AAAAAHp23xY=")</f>
        <v>#REF!</v>
      </c>
      <c r="X30" t="e">
        <f>AND(#REF!,"AAAAAHp23xc=")</f>
        <v>#REF!</v>
      </c>
      <c r="Y30" t="e">
        <f>AND(#REF!,"AAAAAHp23xg=")</f>
        <v>#REF!</v>
      </c>
      <c r="Z30" t="e">
        <f>AND(#REF!,"AAAAAHp23xk=")</f>
        <v>#REF!</v>
      </c>
      <c r="AA30" t="e">
        <f>AND(#REF!,"AAAAAHp23xo=")</f>
        <v>#REF!</v>
      </c>
      <c r="AB30" t="e">
        <f>AND(#REF!,"AAAAAHp23xs=")</f>
        <v>#REF!</v>
      </c>
      <c r="AC30" t="e">
        <f>AND(#REF!,"AAAAAHp23xw=")</f>
        <v>#REF!</v>
      </c>
      <c r="AD30" t="e">
        <f>AND(#REF!,"AAAAAHp23x0=")</f>
        <v>#REF!</v>
      </c>
      <c r="AE30" t="e">
        <f>AND(#REF!,"AAAAAHp23x4=")</f>
        <v>#REF!</v>
      </c>
      <c r="AF30" t="e">
        <f>AND(#REF!,"AAAAAHp23x8=")</f>
        <v>#REF!</v>
      </c>
      <c r="AG30" t="e">
        <f>AND(#REF!,"AAAAAHp23yA=")</f>
        <v>#REF!</v>
      </c>
      <c r="AH30" t="e">
        <f>AND(#REF!,"AAAAAHp23yE=")</f>
        <v>#REF!</v>
      </c>
      <c r="AI30" t="e">
        <f>AND(#REF!,"AAAAAHp23yI=")</f>
        <v>#REF!</v>
      </c>
      <c r="AJ30" t="e">
        <f>AND(#REF!,"AAAAAHp23yM=")</f>
        <v>#REF!</v>
      </c>
      <c r="AK30" t="e">
        <f>AND(#REF!,"AAAAAHp23yQ=")</f>
        <v>#REF!</v>
      </c>
      <c r="AL30" t="e">
        <f>AND(#REF!,"AAAAAHp23yU=")</f>
        <v>#REF!</v>
      </c>
      <c r="AM30" t="e">
        <f>AND(#REF!,"AAAAAHp23yY=")</f>
        <v>#REF!</v>
      </c>
      <c r="AN30" t="e">
        <f>IF(#REF!,"AAAAAHp23yc=",0)</f>
        <v>#REF!</v>
      </c>
      <c r="AO30" t="e">
        <f>AND(#REF!,"AAAAAHp23yg=")</f>
        <v>#REF!</v>
      </c>
      <c r="AP30" t="e">
        <f>AND(#REF!,"AAAAAHp23yk=")</f>
        <v>#REF!</v>
      </c>
      <c r="AQ30" t="e">
        <f>AND(#REF!,"AAAAAHp23yo=")</f>
        <v>#REF!</v>
      </c>
      <c r="AR30" t="e">
        <f>AND(#REF!,"AAAAAHp23ys=")</f>
        <v>#REF!</v>
      </c>
      <c r="AS30" t="e">
        <f>AND(#REF!,"AAAAAHp23yw=")</f>
        <v>#REF!</v>
      </c>
      <c r="AT30" t="e">
        <f>AND(#REF!,"AAAAAHp23y0=")</f>
        <v>#REF!</v>
      </c>
      <c r="AU30" t="e">
        <f>AND(#REF!,"AAAAAHp23y4=")</f>
        <v>#REF!</v>
      </c>
      <c r="AV30" t="e">
        <f>AND(#REF!,"AAAAAHp23y8=")</f>
        <v>#REF!</v>
      </c>
      <c r="AW30" t="e">
        <f>AND(#REF!,"AAAAAHp23zA=")</f>
        <v>#REF!</v>
      </c>
      <c r="AX30" t="e">
        <f>AND(#REF!,"AAAAAHp23zE=")</f>
        <v>#REF!</v>
      </c>
      <c r="AY30" t="e">
        <f>AND(#REF!,"AAAAAHp23zI=")</f>
        <v>#REF!</v>
      </c>
      <c r="AZ30" t="e">
        <f>AND(#REF!,"AAAAAHp23zM=")</f>
        <v>#REF!</v>
      </c>
      <c r="BA30" t="e">
        <f>AND(#REF!,"AAAAAHp23zQ=")</f>
        <v>#REF!</v>
      </c>
      <c r="BB30" t="e">
        <f>AND(#REF!,"AAAAAHp23zU=")</f>
        <v>#REF!</v>
      </c>
      <c r="BC30" t="e">
        <f>AND(#REF!,"AAAAAHp23zY=")</f>
        <v>#REF!</v>
      </c>
      <c r="BD30" t="e">
        <f>AND(#REF!,"AAAAAHp23zc=")</f>
        <v>#REF!</v>
      </c>
      <c r="BE30" t="e">
        <f>AND(#REF!,"AAAAAHp23zg=")</f>
        <v>#REF!</v>
      </c>
      <c r="BF30" t="e">
        <f>AND(#REF!,"AAAAAHp23zk=")</f>
        <v>#REF!</v>
      </c>
      <c r="BG30" t="e">
        <f>IF(#REF!,"AAAAAHp23zo=",0)</f>
        <v>#REF!</v>
      </c>
      <c r="BH30" t="e">
        <f>AND(#REF!,"AAAAAHp23zs=")</f>
        <v>#REF!</v>
      </c>
      <c r="BI30" t="e">
        <f>AND(#REF!,"AAAAAHp23zw=")</f>
        <v>#REF!</v>
      </c>
      <c r="BJ30" t="e">
        <f>AND(#REF!,"AAAAAHp23z0=")</f>
        <v>#REF!</v>
      </c>
      <c r="BK30" t="e">
        <f>AND(#REF!,"AAAAAHp23z4=")</f>
        <v>#REF!</v>
      </c>
      <c r="BL30" t="e">
        <f>AND(#REF!,"AAAAAHp23z8=")</f>
        <v>#REF!</v>
      </c>
      <c r="BM30" t="e">
        <f>AND(#REF!,"AAAAAHp230A=")</f>
        <v>#REF!</v>
      </c>
      <c r="BN30" t="e">
        <f>AND(#REF!,"AAAAAHp230E=")</f>
        <v>#REF!</v>
      </c>
      <c r="BO30" t="e">
        <f>AND(#REF!,"AAAAAHp230I=")</f>
        <v>#REF!</v>
      </c>
      <c r="BP30" t="e">
        <f>AND(#REF!,"AAAAAHp230M=")</f>
        <v>#REF!</v>
      </c>
      <c r="BQ30" t="e">
        <f>AND(#REF!,"AAAAAHp230Q=")</f>
        <v>#REF!</v>
      </c>
      <c r="BR30" t="e">
        <f>AND(#REF!,"AAAAAHp230U=")</f>
        <v>#REF!</v>
      </c>
      <c r="BS30" t="e">
        <f>AND(#REF!,"AAAAAHp230Y=")</f>
        <v>#REF!</v>
      </c>
      <c r="BT30" t="e">
        <f>AND(#REF!,"AAAAAHp230c=")</f>
        <v>#REF!</v>
      </c>
      <c r="BU30" t="e">
        <f>AND(#REF!,"AAAAAHp230g=")</f>
        <v>#REF!</v>
      </c>
      <c r="BV30" t="e">
        <f>AND(#REF!,"AAAAAHp230k=")</f>
        <v>#REF!</v>
      </c>
      <c r="BW30" t="e">
        <f>AND(#REF!,"AAAAAHp230o=")</f>
        <v>#REF!</v>
      </c>
      <c r="BX30" t="e">
        <f>AND(#REF!,"AAAAAHp230s=")</f>
        <v>#REF!</v>
      </c>
      <c r="BY30" t="e">
        <f>AND(#REF!,"AAAAAHp230w=")</f>
        <v>#REF!</v>
      </c>
      <c r="BZ30" t="e">
        <f>IF(#REF!,"AAAAAHp2300=",0)</f>
        <v>#REF!</v>
      </c>
      <c r="CA30" t="e">
        <f>AND(#REF!,"AAAAAHp2304=")</f>
        <v>#REF!</v>
      </c>
      <c r="CB30" t="e">
        <f>AND(#REF!,"AAAAAHp2308=")</f>
        <v>#REF!</v>
      </c>
      <c r="CC30" t="e">
        <f>AND(#REF!,"AAAAAHp231A=")</f>
        <v>#REF!</v>
      </c>
      <c r="CD30" t="e">
        <f>AND(#REF!,"AAAAAHp231E=")</f>
        <v>#REF!</v>
      </c>
      <c r="CE30" t="e">
        <f>AND(#REF!,"AAAAAHp231I=")</f>
        <v>#REF!</v>
      </c>
      <c r="CF30" t="e">
        <f>AND(#REF!,"AAAAAHp231M=")</f>
        <v>#REF!</v>
      </c>
      <c r="CG30" t="e">
        <f>AND(#REF!,"AAAAAHp231Q=")</f>
        <v>#REF!</v>
      </c>
      <c r="CH30" t="e">
        <f>AND(#REF!,"AAAAAHp231U=")</f>
        <v>#REF!</v>
      </c>
      <c r="CI30" t="e">
        <f>AND(#REF!,"AAAAAHp231Y=")</f>
        <v>#REF!</v>
      </c>
      <c r="CJ30" t="e">
        <f>AND(#REF!,"AAAAAHp231c=")</f>
        <v>#REF!</v>
      </c>
      <c r="CK30" t="e">
        <f>AND(#REF!,"AAAAAHp231g=")</f>
        <v>#REF!</v>
      </c>
      <c r="CL30" t="e">
        <f>AND(#REF!,"AAAAAHp231k=")</f>
        <v>#REF!</v>
      </c>
      <c r="CM30" t="e">
        <f>AND(#REF!,"AAAAAHp231o=")</f>
        <v>#REF!</v>
      </c>
      <c r="CN30" t="e">
        <f>AND(#REF!,"AAAAAHp231s=")</f>
        <v>#REF!</v>
      </c>
      <c r="CO30" t="e">
        <f>AND(#REF!,"AAAAAHp231w=")</f>
        <v>#REF!</v>
      </c>
      <c r="CP30" t="e">
        <f>AND(#REF!,"AAAAAHp2310=")</f>
        <v>#REF!</v>
      </c>
      <c r="CQ30" t="e">
        <f>AND(#REF!,"AAAAAHp2314=")</f>
        <v>#REF!</v>
      </c>
      <c r="CR30" t="e">
        <f>AND(#REF!,"AAAAAHp2318=")</f>
        <v>#REF!</v>
      </c>
      <c r="CS30" t="e">
        <f>IF(#REF!,"AAAAAHp232A=",0)</f>
        <v>#REF!</v>
      </c>
      <c r="CT30" t="e">
        <f>AND(#REF!,"AAAAAHp232E=")</f>
        <v>#REF!</v>
      </c>
      <c r="CU30" t="e">
        <f>AND(#REF!,"AAAAAHp232I=")</f>
        <v>#REF!</v>
      </c>
      <c r="CV30" t="e">
        <f>AND(#REF!,"AAAAAHp232M=")</f>
        <v>#REF!</v>
      </c>
      <c r="CW30" t="e">
        <f>AND(#REF!,"AAAAAHp232Q=")</f>
        <v>#REF!</v>
      </c>
      <c r="CX30" t="e">
        <f>AND(#REF!,"AAAAAHp232U=")</f>
        <v>#REF!</v>
      </c>
      <c r="CY30" t="e">
        <f>AND(#REF!,"AAAAAHp232Y=")</f>
        <v>#REF!</v>
      </c>
      <c r="CZ30" t="e">
        <f>AND(#REF!,"AAAAAHp232c=")</f>
        <v>#REF!</v>
      </c>
      <c r="DA30" t="e">
        <f>AND(#REF!,"AAAAAHp232g=")</f>
        <v>#REF!</v>
      </c>
      <c r="DB30" t="e">
        <f>AND(#REF!,"AAAAAHp232k=")</f>
        <v>#REF!</v>
      </c>
      <c r="DC30" t="e">
        <f>AND(#REF!,"AAAAAHp232o=")</f>
        <v>#REF!</v>
      </c>
      <c r="DD30" t="e">
        <f>AND(#REF!,"AAAAAHp232s=")</f>
        <v>#REF!</v>
      </c>
      <c r="DE30" t="e">
        <f>AND(#REF!,"AAAAAHp232w=")</f>
        <v>#REF!</v>
      </c>
      <c r="DF30" t="e">
        <f>AND(#REF!,"AAAAAHp2320=")</f>
        <v>#REF!</v>
      </c>
      <c r="DG30" t="e">
        <f>AND(#REF!,"AAAAAHp2324=")</f>
        <v>#REF!</v>
      </c>
      <c r="DH30" t="e">
        <f>AND(#REF!,"AAAAAHp2328=")</f>
        <v>#REF!</v>
      </c>
      <c r="DI30" t="e">
        <f>AND(#REF!,"AAAAAHp233A=")</f>
        <v>#REF!</v>
      </c>
      <c r="DJ30" t="e">
        <f>AND(#REF!,"AAAAAHp233E=")</f>
        <v>#REF!</v>
      </c>
      <c r="DK30" t="e">
        <f>AND(#REF!,"AAAAAHp233I=")</f>
        <v>#REF!</v>
      </c>
      <c r="DL30" t="e">
        <f>IF(#REF!,"AAAAAHp233M=",0)</f>
        <v>#REF!</v>
      </c>
      <c r="DM30" t="e">
        <f>AND(#REF!,"AAAAAHp233Q=")</f>
        <v>#REF!</v>
      </c>
      <c r="DN30" t="e">
        <f>AND(#REF!,"AAAAAHp233U=")</f>
        <v>#REF!</v>
      </c>
      <c r="DO30" t="e">
        <f>AND(#REF!,"AAAAAHp233Y=")</f>
        <v>#REF!</v>
      </c>
      <c r="DP30" t="e">
        <f>AND(#REF!,"AAAAAHp233c=")</f>
        <v>#REF!</v>
      </c>
      <c r="DQ30" t="e">
        <f>AND(#REF!,"AAAAAHp233g=")</f>
        <v>#REF!</v>
      </c>
      <c r="DR30" t="e">
        <f>AND(#REF!,"AAAAAHp233k=")</f>
        <v>#REF!</v>
      </c>
      <c r="DS30" t="e">
        <f>AND(#REF!,"AAAAAHp233o=")</f>
        <v>#REF!</v>
      </c>
      <c r="DT30" t="e">
        <f>AND(#REF!,"AAAAAHp233s=")</f>
        <v>#REF!</v>
      </c>
      <c r="DU30" t="e">
        <f>AND(#REF!,"AAAAAHp233w=")</f>
        <v>#REF!</v>
      </c>
      <c r="DV30" t="e">
        <f>AND(#REF!,"AAAAAHp2330=")</f>
        <v>#REF!</v>
      </c>
      <c r="DW30" t="e">
        <f>AND(#REF!,"AAAAAHp2334=")</f>
        <v>#REF!</v>
      </c>
      <c r="DX30" t="e">
        <f>AND(#REF!,"AAAAAHp2338=")</f>
        <v>#REF!</v>
      </c>
      <c r="DY30" t="e">
        <f>AND(#REF!,"AAAAAHp234A=")</f>
        <v>#REF!</v>
      </c>
      <c r="DZ30" t="e">
        <f>AND(#REF!,"AAAAAHp234E=")</f>
        <v>#REF!</v>
      </c>
      <c r="EA30" t="e">
        <f>AND(#REF!,"AAAAAHp234I=")</f>
        <v>#REF!</v>
      </c>
      <c r="EB30" t="e">
        <f>AND(#REF!,"AAAAAHp234M=")</f>
        <v>#REF!</v>
      </c>
      <c r="EC30" t="e">
        <f>AND(#REF!,"AAAAAHp234Q=")</f>
        <v>#REF!</v>
      </c>
      <c r="ED30" t="e">
        <f>AND(#REF!,"AAAAAHp234U=")</f>
        <v>#REF!</v>
      </c>
      <c r="EE30" t="e">
        <f>IF(#REF!,"AAAAAHp234Y=",0)</f>
        <v>#REF!</v>
      </c>
      <c r="EF30" t="e">
        <f>AND(#REF!,"AAAAAHp234c=")</f>
        <v>#REF!</v>
      </c>
      <c r="EG30" t="e">
        <f>AND(#REF!,"AAAAAHp234g=")</f>
        <v>#REF!</v>
      </c>
      <c r="EH30" t="e">
        <f>AND(#REF!,"AAAAAHp234k=")</f>
        <v>#REF!</v>
      </c>
      <c r="EI30" t="e">
        <f>AND(#REF!,"AAAAAHp234o=")</f>
        <v>#REF!</v>
      </c>
      <c r="EJ30" t="e">
        <f>AND(#REF!,"AAAAAHp234s=")</f>
        <v>#REF!</v>
      </c>
      <c r="EK30" t="e">
        <f>AND(#REF!,"AAAAAHp234w=")</f>
        <v>#REF!</v>
      </c>
      <c r="EL30" t="e">
        <f>AND(#REF!,"AAAAAHp2340=")</f>
        <v>#REF!</v>
      </c>
      <c r="EM30" t="e">
        <f>AND(#REF!,"AAAAAHp2344=")</f>
        <v>#REF!</v>
      </c>
      <c r="EN30" t="e">
        <f>AND(#REF!,"AAAAAHp2348=")</f>
        <v>#REF!</v>
      </c>
      <c r="EO30" t="e">
        <f>AND(#REF!,"AAAAAHp235A=")</f>
        <v>#REF!</v>
      </c>
      <c r="EP30" t="e">
        <f>AND(#REF!,"AAAAAHp235E=")</f>
        <v>#REF!</v>
      </c>
      <c r="EQ30" t="e">
        <f>AND(#REF!,"AAAAAHp235I=")</f>
        <v>#REF!</v>
      </c>
      <c r="ER30" t="e">
        <f>AND(#REF!,"AAAAAHp235M=")</f>
        <v>#REF!</v>
      </c>
      <c r="ES30" t="e">
        <f>AND(#REF!,"AAAAAHp235Q=")</f>
        <v>#REF!</v>
      </c>
      <c r="ET30" t="e">
        <f>AND(#REF!,"AAAAAHp235U=")</f>
        <v>#REF!</v>
      </c>
      <c r="EU30" t="e">
        <f>AND(#REF!,"AAAAAHp235Y=")</f>
        <v>#REF!</v>
      </c>
      <c r="EV30" t="e">
        <f>AND(#REF!,"AAAAAHp235c=")</f>
        <v>#REF!</v>
      </c>
      <c r="EW30" t="e">
        <f>AND(#REF!,"AAAAAHp235g=")</f>
        <v>#REF!</v>
      </c>
      <c r="EX30" t="e">
        <f>IF(#REF!,"AAAAAHp235k=",0)</f>
        <v>#REF!</v>
      </c>
      <c r="EY30" t="e">
        <f>AND(#REF!,"AAAAAHp235o=")</f>
        <v>#REF!</v>
      </c>
      <c r="EZ30" t="e">
        <f>AND(#REF!,"AAAAAHp235s=")</f>
        <v>#REF!</v>
      </c>
      <c r="FA30" t="e">
        <f>AND(#REF!,"AAAAAHp235w=")</f>
        <v>#REF!</v>
      </c>
      <c r="FB30" t="e">
        <f>AND(#REF!,"AAAAAHp2350=")</f>
        <v>#REF!</v>
      </c>
      <c r="FC30" t="e">
        <f>AND(#REF!,"AAAAAHp2354=")</f>
        <v>#REF!</v>
      </c>
      <c r="FD30" t="e">
        <f>AND(#REF!,"AAAAAHp2358=")</f>
        <v>#REF!</v>
      </c>
      <c r="FE30" t="e">
        <f>AND(#REF!,"AAAAAHp236A=")</f>
        <v>#REF!</v>
      </c>
      <c r="FF30" t="e">
        <f>AND(#REF!,"AAAAAHp236E=")</f>
        <v>#REF!</v>
      </c>
      <c r="FG30" t="e">
        <f>AND(#REF!,"AAAAAHp236I=")</f>
        <v>#REF!</v>
      </c>
      <c r="FH30" t="e">
        <f>AND(#REF!,"AAAAAHp236M=")</f>
        <v>#REF!</v>
      </c>
      <c r="FI30" t="e">
        <f>AND(#REF!,"AAAAAHp236Q=")</f>
        <v>#REF!</v>
      </c>
      <c r="FJ30" t="e">
        <f>AND(#REF!,"AAAAAHp236U=")</f>
        <v>#REF!</v>
      </c>
      <c r="FK30" t="e">
        <f>AND(#REF!,"AAAAAHp236Y=")</f>
        <v>#REF!</v>
      </c>
      <c r="FL30" t="e">
        <f>AND(#REF!,"AAAAAHp236c=")</f>
        <v>#REF!</v>
      </c>
      <c r="FM30" t="e">
        <f>AND(#REF!,"AAAAAHp236g=")</f>
        <v>#REF!</v>
      </c>
      <c r="FN30" t="e">
        <f>AND(#REF!,"AAAAAHp236k=")</f>
        <v>#REF!</v>
      </c>
      <c r="FO30" t="e">
        <f>AND(#REF!,"AAAAAHp236o=")</f>
        <v>#REF!</v>
      </c>
      <c r="FP30" t="e">
        <f>AND(#REF!,"AAAAAHp236s=")</f>
        <v>#REF!</v>
      </c>
      <c r="FQ30" t="e">
        <f>IF(#REF!,"AAAAAHp236w=",0)</f>
        <v>#REF!</v>
      </c>
      <c r="FR30" t="e">
        <f>AND(#REF!,"AAAAAHp2360=")</f>
        <v>#REF!</v>
      </c>
      <c r="FS30" t="e">
        <f>AND(#REF!,"AAAAAHp2364=")</f>
        <v>#REF!</v>
      </c>
      <c r="FT30" t="e">
        <f>AND(#REF!,"AAAAAHp2368=")</f>
        <v>#REF!</v>
      </c>
      <c r="FU30" t="e">
        <f>AND(#REF!,"AAAAAHp237A=")</f>
        <v>#REF!</v>
      </c>
      <c r="FV30" t="e">
        <f>AND(#REF!,"AAAAAHp237E=")</f>
        <v>#REF!</v>
      </c>
      <c r="FW30" t="e">
        <f>AND(#REF!,"AAAAAHp237I=")</f>
        <v>#REF!</v>
      </c>
      <c r="FX30" t="e">
        <f>AND(#REF!,"AAAAAHp237M=")</f>
        <v>#REF!</v>
      </c>
      <c r="FY30" t="e">
        <f>AND(#REF!,"AAAAAHp237Q=")</f>
        <v>#REF!</v>
      </c>
      <c r="FZ30" t="e">
        <f>AND(#REF!,"AAAAAHp237U=")</f>
        <v>#REF!</v>
      </c>
      <c r="GA30" t="e">
        <f>AND(#REF!,"AAAAAHp237Y=")</f>
        <v>#REF!</v>
      </c>
      <c r="GB30" t="e">
        <f>AND(#REF!,"AAAAAHp237c=")</f>
        <v>#REF!</v>
      </c>
      <c r="GC30" t="e">
        <f>AND(#REF!,"AAAAAHp237g=")</f>
        <v>#REF!</v>
      </c>
      <c r="GD30" t="e">
        <f>AND(#REF!,"AAAAAHp237k=")</f>
        <v>#REF!</v>
      </c>
      <c r="GE30" t="e">
        <f>AND(#REF!,"AAAAAHp237o=")</f>
        <v>#REF!</v>
      </c>
      <c r="GF30" t="e">
        <f>AND(#REF!,"AAAAAHp237s=")</f>
        <v>#REF!</v>
      </c>
      <c r="GG30" t="e">
        <f>AND(#REF!,"AAAAAHp237w=")</f>
        <v>#REF!</v>
      </c>
      <c r="GH30" t="e">
        <f>AND(#REF!,"AAAAAHp2370=")</f>
        <v>#REF!</v>
      </c>
      <c r="GI30" t="e">
        <f>AND(#REF!,"AAAAAHp2374=")</f>
        <v>#REF!</v>
      </c>
      <c r="GJ30" t="e">
        <f>IF(#REF!,"AAAAAHp2378=",0)</f>
        <v>#REF!</v>
      </c>
      <c r="GK30" t="e">
        <f>AND(#REF!,"AAAAAHp238A=")</f>
        <v>#REF!</v>
      </c>
      <c r="GL30" t="e">
        <f>AND(#REF!,"AAAAAHp238E=")</f>
        <v>#REF!</v>
      </c>
      <c r="GM30" t="e">
        <f>AND(#REF!,"AAAAAHp238I=")</f>
        <v>#REF!</v>
      </c>
      <c r="GN30" t="e">
        <f>AND(#REF!,"AAAAAHp238M=")</f>
        <v>#REF!</v>
      </c>
      <c r="GO30" t="e">
        <f>AND(#REF!,"AAAAAHp238Q=")</f>
        <v>#REF!</v>
      </c>
      <c r="GP30" t="e">
        <f>AND(#REF!,"AAAAAHp238U=")</f>
        <v>#REF!</v>
      </c>
      <c r="GQ30" t="e">
        <f>AND(#REF!,"AAAAAHp238Y=")</f>
        <v>#REF!</v>
      </c>
      <c r="GR30" t="e">
        <f>AND(#REF!,"AAAAAHp238c=")</f>
        <v>#REF!</v>
      </c>
      <c r="GS30" t="e">
        <f>AND(#REF!,"AAAAAHp238g=")</f>
        <v>#REF!</v>
      </c>
      <c r="GT30" t="e">
        <f>AND(#REF!,"AAAAAHp238k=")</f>
        <v>#REF!</v>
      </c>
      <c r="GU30" t="e">
        <f>AND(#REF!,"AAAAAHp238o=")</f>
        <v>#REF!</v>
      </c>
      <c r="GV30" t="e">
        <f>AND(#REF!,"AAAAAHp238s=")</f>
        <v>#REF!</v>
      </c>
      <c r="GW30" t="e">
        <f>AND(#REF!,"AAAAAHp238w=")</f>
        <v>#REF!</v>
      </c>
      <c r="GX30" t="e">
        <f>AND(#REF!,"AAAAAHp2380=")</f>
        <v>#REF!</v>
      </c>
      <c r="GY30" t="e">
        <f>AND(#REF!,"AAAAAHp2384=")</f>
        <v>#REF!</v>
      </c>
      <c r="GZ30" t="e">
        <f>AND(#REF!,"AAAAAHp2388=")</f>
        <v>#REF!</v>
      </c>
      <c r="HA30" t="e">
        <f>AND(#REF!,"AAAAAHp239A=")</f>
        <v>#REF!</v>
      </c>
      <c r="HB30" t="e">
        <f>AND(#REF!,"AAAAAHp239E=")</f>
        <v>#REF!</v>
      </c>
      <c r="HC30" t="e">
        <f>IF(#REF!,"AAAAAHp239I=",0)</f>
        <v>#REF!</v>
      </c>
      <c r="HD30" t="e">
        <f>AND(#REF!,"AAAAAHp239M=")</f>
        <v>#REF!</v>
      </c>
      <c r="HE30" t="e">
        <f>AND(#REF!,"AAAAAHp239Q=")</f>
        <v>#REF!</v>
      </c>
      <c r="HF30" t="e">
        <f>AND(#REF!,"AAAAAHp239U=")</f>
        <v>#REF!</v>
      </c>
      <c r="HG30" t="e">
        <f>AND(#REF!,"AAAAAHp239Y=")</f>
        <v>#REF!</v>
      </c>
      <c r="HH30" t="e">
        <f>AND(#REF!,"AAAAAHp239c=")</f>
        <v>#REF!</v>
      </c>
      <c r="HI30" t="e">
        <f>AND(#REF!,"AAAAAHp239g=")</f>
        <v>#REF!</v>
      </c>
      <c r="HJ30" t="e">
        <f>AND(#REF!,"AAAAAHp239k=")</f>
        <v>#REF!</v>
      </c>
      <c r="HK30" t="e">
        <f>AND(#REF!,"AAAAAHp239o=")</f>
        <v>#REF!</v>
      </c>
      <c r="HL30" t="e">
        <f>AND(#REF!,"AAAAAHp239s=")</f>
        <v>#REF!</v>
      </c>
      <c r="HM30" t="e">
        <f>AND(#REF!,"AAAAAHp239w=")</f>
        <v>#REF!</v>
      </c>
      <c r="HN30" t="e">
        <f>AND(#REF!,"AAAAAHp2390=")</f>
        <v>#REF!</v>
      </c>
      <c r="HO30" t="e">
        <f>AND(#REF!,"AAAAAHp2394=")</f>
        <v>#REF!</v>
      </c>
      <c r="HP30" t="e">
        <f>AND(#REF!,"AAAAAHp2398=")</f>
        <v>#REF!</v>
      </c>
      <c r="HQ30" t="e">
        <f>AND(#REF!,"AAAAAHp23+A=")</f>
        <v>#REF!</v>
      </c>
      <c r="HR30" t="e">
        <f>AND(#REF!,"AAAAAHp23+E=")</f>
        <v>#REF!</v>
      </c>
      <c r="HS30" t="e">
        <f>AND(#REF!,"AAAAAHp23+I=")</f>
        <v>#REF!</v>
      </c>
      <c r="HT30" t="e">
        <f>AND(#REF!,"AAAAAHp23+M=")</f>
        <v>#REF!</v>
      </c>
      <c r="HU30" t="e">
        <f>AND(#REF!,"AAAAAHp23+Q=")</f>
        <v>#REF!</v>
      </c>
      <c r="HV30" t="e">
        <f>IF(#REF!,"AAAAAHp23+U=",0)</f>
        <v>#REF!</v>
      </c>
      <c r="HW30" t="e">
        <f>AND(#REF!,"AAAAAHp23+Y=")</f>
        <v>#REF!</v>
      </c>
      <c r="HX30" t="e">
        <f>AND(#REF!,"AAAAAHp23+c=")</f>
        <v>#REF!</v>
      </c>
      <c r="HY30" t="e">
        <f>AND(#REF!,"AAAAAHp23+g=")</f>
        <v>#REF!</v>
      </c>
      <c r="HZ30" t="e">
        <f>AND(#REF!,"AAAAAHp23+k=")</f>
        <v>#REF!</v>
      </c>
      <c r="IA30" t="e">
        <f>AND(#REF!,"AAAAAHp23+o=")</f>
        <v>#REF!</v>
      </c>
      <c r="IB30" t="e">
        <f>AND(#REF!,"AAAAAHp23+s=")</f>
        <v>#REF!</v>
      </c>
      <c r="IC30" t="e">
        <f>AND(#REF!,"AAAAAHp23+w=")</f>
        <v>#REF!</v>
      </c>
      <c r="ID30" t="e">
        <f>AND(#REF!,"AAAAAHp23+0=")</f>
        <v>#REF!</v>
      </c>
      <c r="IE30" t="e">
        <f>AND(#REF!,"AAAAAHp23+4=")</f>
        <v>#REF!</v>
      </c>
      <c r="IF30" t="e">
        <f>AND(#REF!,"AAAAAHp23+8=")</f>
        <v>#REF!</v>
      </c>
      <c r="IG30" t="e">
        <f>AND(#REF!,"AAAAAHp23/A=")</f>
        <v>#REF!</v>
      </c>
      <c r="IH30" t="e">
        <f>AND(#REF!,"AAAAAHp23/E=")</f>
        <v>#REF!</v>
      </c>
      <c r="II30" t="e">
        <f>AND(#REF!,"AAAAAHp23/I=")</f>
        <v>#REF!</v>
      </c>
      <c r="IJ30" t="e">
        <f>AND(#REF!,"AAAAAHp23/M=")</f>
        <v>#REF!</v>
      </c>
      <c r="IK30" t="e">
        <f>AND(#REF!,"AAAAAHp23/Q=")</f>
        <v>#REF!</v>
      </c>
      <c r="IL30" t="e">
        <f>AND(#REF!,"AAAAAHp23/U=")</f>
        <v>#REF!</v>
      </c>
      <c r="IM30" t="e">
        <f>AND(#REF!,"AAAAAHp23/Y=")</f>
        <v>#REF!</v>
      </c>
      <c r="IN30" t="e">
        <f>AND(#REF!,"AAAAAHp23/c=")</f>
        <v>#REF!</v>
      </c>
      <c r="IO30" t="e">
        <f>IF(#REF!,"AAAAAHp23/g=",0)</f>
        <v>#REF!</v>
      </c>
      <c r="IP30" t="e">
        <f>AND(#REF!,"AAAAAHp23/k=")</f>
        <v>#REF!</v>
      </c>
      <c r="IQ30" t="e">
        <f>AND(#REF!,"AAAAAHp23/o=")</f>
        <v>#REF!</v>
      </c>
      <c r="IR30" t="e">
        <f>AND(#REF!,"AAAAAHp23/s=")</f>
        <v>#REF!</v>
      </c>
      <c r="IS30" t="e">
        <f>AND(#REF!,"AAAAAHp23/w=")</f>
        <v>#REF!</v>
      </c>
      <c r="IT30" t="e">
        <f>AND(#REF!,"AAAAAHp23/0=")</f>
        <v>#REF!</v>
      </c>
      <c r="IU30" t="e">
        <f>AND(#REF!,"AAAAAHp23/4=")</f>
        <v>#REF!</v>
      </c>
      <c r="IV30" t="e">
        <f>AND(#REF!,"AAAAAHp23/8=")</f>
        <v>#REF!</v>
      </c>
    </row>
    <row r="31" spans="1:256" x14ac:dyDescent="0.15">
      <c r="A31" t="e">
        <f>AND(#REF!,"AAAAAHvv6wA=")</f>
        <v>#REF!</v>
      </c>
      <c r="B31" t="e">
        <f>AND(#REF!,"AAAAAHvv6wE=")</f>
        <v>#REF!</v>
      </c>
      <c r="C31" t="e">
        <f>AND(#REF!,"AAAAAHvv6wI=")</f>
        <v>#REF!</v>
      </c>
      <c r="D31" t="e">
        <f>AND(#REF!,"AAAAAHvv6wM=")</f>
        <v>#REF!</v>
      </c>
      <c r="E31" t="e">
        <f>AND(#REF!,"AAAAAHvv6wQ=")</f>
        <v>#REF!</v>
      </c>
      <c r="F31" t="e">
        <f>AND(#REF!,"AAAAAHvv6wU=")</f>
        <v>#REF!</v>
      </c>
      <c r="G31" t="e">
        <f>AND(#REF!,"AAAAAHvv6wY=")</f>
        <v>#REF!</v>
      </c>
      <c r="H31" t="e">
        <f>AND(#REF!,"AAAAAHvv6wc=")</f>
        <v>#REF!</v>
      </c>
      <c r="I31" t="e">
        <f>AND(#REF!,"AAAAAHvv6wg=")</f>
        <v>#REF!</v>
      </c>
      <c r="J31" t="e">
        <f>AND(#REF!,"AAAAAHvv6wk=")</f>
        <v>#REF!</v>
      </c>
      <c r="K31" t="e">
        <f>AND(#REF!,"AAAAAHvv6wo=")</f>
        <v>#REF!</v>
      </c>
      <c r="L31" t="e">
        <f>IF(#REF!,"AAAAAHvv6ws=",0)</f>
        <v>#REF!</v>
      </c>
      <c r="M31" t="e">
        <f>AND(#REF!,"AAAAAHvv6ww=")</f>
        <v>#REF!</v>
      </c>
      <c r="N31" t="e">
        <f>AND(#REF!,"AAAAAHvv6w0=")</f>
        <v>#REF!</v>
      </c>
      <c r="O31" t="e">
        <f>AND(#REF!,"AAAAAHvv6w4=")</f>
        <v>#REF!</v>
      </c>
      <c r="P31" t="e">
        <f>AND(#REF!,"AAAAAHvv6w8=")</f>
        <v>#REF!</v>
      </c>
      <c r="Q31" t="e">
        <f>AND(#REF!,"AAAAAHvv6xA=")</f>
        <v>#REF!</v>
      </c>
      <c r="R31" t="e">
        <f>AND(#REF!,"AAAAAHvv6xE=")</f>
        <v>#REF!</v>
      </c>
      <c r="S31" t="e">
        <f>AND(#REF!,"AAAAAHvv6xI=")</f>
        <v>#REF!</v>
      </c>
      <c r="T31" t="e">
        <f>AND(#REF!,"AAAAAHvv6xM=")</f>
        <v>#REF!</v>
      </c>
      <c r="U31" t="e">
        <f>AND(#REF!,"AAAAAHvv6xQ=")</f>
        <v>#REF!</v>
      </c>
      <c r="V31" t="e">
        <f>AND(#REF!,"AAAAAHvv6xU=")</f>
        <v>#REF!</v>
      </c>
      <c r="W31" t="e">
        <f>AND(#REF!,"AAAAAHvv6xY=")</f>
        <v>#REF!</v>
      </c>
      <c r="X31" t="e">
        <f>AND(#REF!,"AAAAAHvv6xc=")</f>
        <v>#REF!</v>
      </c>
      <c r="Y31" t="e">
        <f>AND(#REF!,"AAAAAHvv6xg=")</f>
        <v>#REF!</v>
      </c>
      <c r="Z31" t="e">
        <f>AND(#REF!,"AAAAAHvv6xk=")</f>
        <v>#REF!</v>
      </c>
      <c r="AA31" t="e">
        <f>AND(#REF!,"AAAAAHvv6xo=")</f>
        <v>#REF!</v>
      </c>
      <c r="AB31" t="e">
        <f>AND(#REF!,"AAAAAHvv6xs=")</f>
        <v>#REF!</v>
      </c>
      <c r="AC31" t="e">
        <f>AND(#REF!,"AAAAAHvv6xw=")</f>
        <v>#REF!</v>
      </c>
      <c r="AD31" t="e">
        <f>AND(#REF!,"AAAAAHvv6x0=")</f>
        <v>#REF!</v>
      </c>
      <c r="AE31" t="e">
        <f>IF(#REF!,"AAAAAHvv6x4=",0)</f>
        <v>#REF!</v>
      </c>
      <c r="AF31" t="e">
        <f>AND(#REF!,"AAAAAHvv6x8=")</f>
        <v>#REF!</v>
      </c>
      <c r="AG31" t="e">
        <f>AND(#REF!,"AAAAAHvv6yA=")</f>
        <v>#REF!</v>
      </c>
      <c r="AH31" t="e">
        <f>AND(#REF!,"AAAAAHvv6yE=")</f>
        <v>#REF!</v>
      </c>
      <c r="AI31" t="e">
        <f>AND(#REF!,"AAAAAHvv6yI=")</f>
        <v>#REF!</v>
      </c>
      <c r="AJ31" t="e">
        <f>AND(#REF!,"AAAAAHvv6yM=")</f>
        <v>#REF!</v>
      </c>
      <c r="AK31" t="e">
        <f>AND(#REF!,"AAAAAHvv6yQ=")</f>
        <v>#REF!</v>
      </c>
      <c r="AL31" t="e">
        <f>AND(#REF!,"AAAAAHvv6yU=")</f>
        <v>#REF!</v>
      </c>
      <c r="AM31" t="e">
        <f>AND(#REF!,"AAAAAHvv6yY=")</f>
        <v>#REF!</v>
      </c>
      <c r="AN31" t="e">
        <f>AND(#REF!,"AAAAAHvv6yc=")</f>
        <v>#REF!</v>
      </c>
      <c r="AO31" t="e">
        <f>AND(#REF!,"AAAAAHvv6yg=")</f>
        <v>#REF!</v>
      </c>
      <c r="AP31" t="e">
        <f>AND(#REF!,"AAAAAHvv6yk=")</f>
        <v>#REF!</v>
      </c>
      <c r="AQ31" t="e">
        <f>AND(#REF!,"AAAAAHvv6yo=")</f>
        <v>#REF!</v>
      </c>
      <c r="AR31" t="e">
        <f>AND(#REF!,"AAAAAHvv6ys=")</f>
        <v>#REF!</v>
      </c>
      <c r="AS31" t="e">
        <f>AND(#REF!,"AAAAAHvv6yw=")</f>
        <v>#REF!</v>
      </c>
      <c r="AT31" t="e">
        <f>AND(#REF!,"AAAAAHvv6y0=")</f>
        <v>#REF!</v>
      </c>
      <c r="AU31" t="e">
        <f>AND(#REF!,"AAAAAHvv6y4=")</f>
        <v>#REF!</v>
      </c>
      <c r="AV31" t="e">
        <f>AND(#REF!,"AAAAAHvv6y8=")</f>
        <v>#REF!</v>
      </c>
      <c r="AW31" t="e">
        <f>AND(#REF!,"AAAAAHvv6zA=")</f>
        <v>#REF!</v>
      </c>
      <c r="AX31" t="e">
        <f>IF(#REF!,"AAAAAHvv6zE=",0)</f>
        <v>#REF!</v>
      </c>
      <c r="AY31" t="e">
        <f>AND(#REF!,"AAAAAHvv6zI=")</f>
        <v>#REF!</v>
      </c>
      <c r="AZ31" t="e">
        <f>AND(#REF!,"AAAAAHvv6zM=")</f>
        <v>#REF!</v>
      </c>
      <c r="BA31" t="e">
        <f>AND(#REF!,"AAAAAHvv6zQ=")</f>
        <v>#REF!</v>
      </c>
      <c r="BB31" t="e">
        <f>AND(#REF!,"AAAAAHvv6zU=")</f>
        <v>#REF!</v>
      </c>
      <c r="BC31" t="e">
        <f>AND(#REF!,"AAAAAHvv6zY=")</f>
        <v>#REF!</v>
      </c>
      <c r="BD31" t="e">
        <f>AND(#REF!,"AAAAAHvv6zc=")</f>
        <v>#REF!</v>
      </c>
      <c r="BE31" t="e">
        <f>AND(#REF!,"AAAAAHvv6zg=")</f>
        <v>#REF!</v>
      </c>
      <c r="BF31" t="e">
        <f>AND(#REF!,"AAAAAHvv6zk=")</f>
        <v>#REF!</v>
      </c>
      <c r="BG31" t="e">
        <f>AND(#REF!,"AAAAAHvv6zo=")</f>
        <v>#REF!</v>
      </c>
      <c r="BH31" t="e">
        <f>AND(#REF!,"AAAAAHvv6zs=")</f>
        <v>#REF!</v>
      </c>
      <c r="BI31" t="e">
        <f>AND(#REF!,"AAAAAHvv6zw=")</f>
        <v>#REF!</v>
      </c>
      <c r="BJ31" t="e">
        <f>AND(#REF!,"AAAAAHvv6z0=")</f>
        <v>#REF!</v>
      </c>
      <c r="BK31" t="e">
        <f>AND(#REF!,"AAAAAHvv6z4=")</f>
        <v>#REF!</v>
      </c>
      <c r="BL31" t="e">
        <f>AND(#REF!,"AAAAAHvv6z8=")</f>
        <v>#REF!</v>
      </c>
      <c r="BM31" t="e">
        <f>AND(#REF!,"AAAAAHvv60A=")</f>
        <v>#REF!</v>
      </c>
      <c r="BN31" t="e">
        <f>AND(#REF!,"AAAAAHvv60E=")</f>
        <v>#REF!</v>
      </c>
      <c r="BO31" t="e">
        <f>AND(#REF!,"AAAAAHvv60I=")</f>
        <v>#REF!</v>
      </c>
      <c r="BP31" t="e">
        <f>AND(#REF!,"AAAAAHvv60M=")</f>
        <v>#REF!</v>
      </c>
      <c r="BQ31" t="e">
        <f>IF(#REF!,"AAAAAHvv60Q=",0)</f>
        <v>#REF!</v>
      </c>
      <c r="BR31" t="e">
        <f>AND(#REF!,"AAAAAHvv60U=")</f>
        <v>#REF!</v>
      </c>
      <c r="BS31" t="e">
        <f>AND(#REF!,"AAAAAHvv60Y=")</f>
        <v>#REF!</v>
      </c>
      <c r="BT31" t="e">
        <f>AND(#REF!,"AAAAAHvv60c=")</f>
        <v>#REF!</v>
      </c>
      <c r="BU31" t="e">
        <f>AND(#REF!,"AAAAAHvv60g=")</f>
        <v>#REF!</v>
      </c>
      <c r="BV31" t="e">
        <f>AND(#REF!,"AAAAAHvv60k=")</f>
        <v>#REF!</v>
      </c>
      <c r="BW31" t="e">
        <f>AND(#REF!,"AAAAAHvv60o=")</f>
        <v>#REF!</v>
      </c>
      <c r="BX31" t="e">
        <f>AND(#REF!,"AAAAAHvv60s=")</f>
        <v>#REF!</v>
      </c>
      <c r="BY31" t="e">
        <f>AND(#REF!,"AAAAAHvv60w=")</f>
        <v>#REF!</v>
      </c>
      <c r="BZ31" t="e">
        <f>AND(#REF!,"AAAAAHvv600=")</f>
        <v>#REF!</v>
      </c>
      <c r="CA31" t="e">
        <f>AND(#REF!,"AAAAAHvv604=")</f>
        <v>#REF!</v>
      </c>
      <c r="CB31" t="e">
        <f>AND(#REF!,"AAAAAHvv608=")</f>
        <v>#REF!</v>
      </c>
      <c r="CC31" t="e">
        <f>AND(#REF!,"AAAAAHvv61A=")</f>
        <v>#REF!</v>
      </c>
      <c r="CD31" t="e">
        <f>AND(#REF!,"AAAAAHvv61E=")</f>
        <v>#REF!</v>
      </c>
      <c r="CE31" t="e">
        <f>AND(#REF!,"AAAAAHvv61I=")</f>
        <v>#REF!</v>
      </c>
      <c r="CF31" t="e">
        <f>AND(#REF!,"AAAAAHvv61M=")</f>
        <v>#REF!</v>
      </c>
      <c r="CG31" t="e">
        <f>AND(#REF!,"AAAAAHvv61Q=")</f>
        <v>#REF!</v>
      </c>
      <c r="CH31" t="e">
        <f>AND(#REF!,"AAAAAHvv61U=")</f>
        <v>#REF!</v>
      </c>
      <c r="CI31" t="e">
        <f>AND(#REF!,"AAAAAHvv61Y=")</f>
        <v>#REF!</v>
      </c>
      <c r="CJ31" t="e">
        <f>IF(#REF!,"AAAAAHvv61c=",0)</f>
        <v>#REF!</v>
      </c>
      <c r="CK31" t="e">
        <f>AND(#REF!,"AAAAAHvv61g=")</f>
        <v>#REF!</v>
      </c>
      <c r="CL31" t="e">
        <f>AND(#REF!,"AAAAAHvv61k=")</f>
        <v>#REF!</v>
      </c>
      <c r="CM31" t="e">
        <f>AND(#REF!,"AAAAAHvv61o=")</f>
        <v>#REF!</v>
      </c>
      <c r="CN31" t="e">
        <f>AND(#REF!,"AAAAAHvv61s=")</f>
        <v>#REF!</v>
      </c>
      <c r="CO31" t="e">
        <f>AND(#REF!,"AAAAAHvv61w=")</f>
        <v>#REF!</v>
      </c>
      <c r="CP31" t="e">
        <f>AND(#REF!,"AAAAAHvv610=")</f>
        <v>#REF!</v>
      </c>
      <c r="CQ31" t="e">
        <f>AND(#REF!,"AAAAAHvv614=")</f>
        <v>#REF!</v>
      </c>
      <c r="CR31" t="e">
        <f>AND(#REF!,"AAAAAHvv618=")</f>
        <v>#REF!</v>
      </c>
      <c r="CS31" t="e">
        <f>AND(#REF!,"AAAAAHvv62A=")</f>
        <v>#REF!</v>
      </c>
      <c r="CT31" t="e">
        <f>AND(#REF!,"AAAAAHvv62E=")</f>
        <v>#REF!</v>
      </c>
      <c r="CU31" t="e">
        <f>AND(#REF!,"AAAAAHvv62I=")</f>
        <v>#REF!</v>
      </c>
      <c r="CV31" t="e">
        <f>AND(#REF!,"AAAAAHvv62M=")</f>
        <v>#REF!</v>
      </c>
      <c r="CW31" t="e">
        <f>AND(#REF!,"AAAAAHvv62Q=")</f>
        <v>#REF!</v>
      </c>
      <c r="CX31" t="e">
        <f>AND(#REF!,"AAAAAHvv62U=")</f>
        <v>#REF!</v>
      </c>
      <c r="CY31" t="e">
        <f>AND(#REF!,"AAAAAHvv62Y=")</f>
        <v>#REF!</v>
      </c>
      <c r="CZ31" t="e">
        <f>AND(#REF!,"AAAAAHvv62c=")</f>
        <v>#REF!</v>
      </c>
      <c r="DA31" t="e">
        <f>AND(#REF!,"AAAAAHvv62g=")</f>
        <v>#REF!</v>
      </c>
      <c r="DB31" t="e">
        <f>AND(#REF!,"AAAAAHvv62k=")</f>
        <v>#REF!</v>
      </c>
      <c r="DC31" t="e">
        <f>IF(#REF!,"AAAAAHvv62o=",0)</f>
        <v>#REF!</v>
      </c>
      <c r="DD31" t="e">
        <f>AND(#REF!,"AAAAAHvv62s=")</f>
        <v>#REF!</v>
      </c>
      <c r="DE31" t="e">
        <f>AND(#REF!,"AAAAAHvv62w=")</f>
        <v>#REF!</v>
      </c>
      <c r="DF31" t="e">
        <f>AND(#REF!,"AAAAAHvv620=")</f>
        <v>#REF!</v>
      </c>
      <c r="DG31" t="e">
        <f>AND(#REF!,"AAAAAHvv624=")</f>
        <v>#REF!</v>
      </c>
      <c r="DH31" t="e">
        <f>AND(#REF!,"AAAAAHvv628=")</f>
        <v>#REF!</v>
      </c>
      <c r="DI31" t="e">
        <f>AND(#REF!,"AAAAAHvv63A=")</f>
        <v>#REF!</v>
      </c>
      <c r="DJ31" t="e">
        <f>AND(#REF!,"AAAAAHvv63E=")</f>
        <v>#REF!</v>
      </c>
      <c r="DK31" t="e">
        <f>AND(#REF!,"AAAAAHvv63I=")</f>
        <v>#REF!</v>
      </c>
      <c r="DL31" t="e">
        <f>AND(#REF!,"AAAAAHvv63M=")</f>
        <v>#REF!</v>
      </c>
      <c r="DM31" t="e">
        <f>AND(#REF!,"AAAAAHvv63Q=")</f>
        <v>#REF!</v>
      </c>
      <c r="DN31" t="e">
        <f>AND(#REF!,"AAAAAHvv63U=")</f>
        <v>#REF!</v>
      </c>
      <c r="DO31" t="e">
        <f>AND(#REF!,"AAAAAHvv63Y=")</f>
        <v>#REF!</v>
      </c>
      <c r="DP31" t="e">
        <f>AND(#REF!,"AAAAAHvv63c=")</f>
        <v>#REF!</v>
      </c>
      <c r="DQ31" t="e">
        <f>AND(#REF!,"AAAAAHvv63g=")</f>
        <v>#REF!</v>
      </c>
      <c r="DR31" t="e">
        <f>AND(#REF!,"AAAAAHvv63k=")</f>
        <v>#REF!</v>
      </c>
      <c r="DS31" t="e">
        <f>AND(#REF!,"AAAAAHvv63o=")</f>
        <v>#REF!</v>
      </c>
      <c r="DT31" t="e">
        <f>AND(#REF!,"AAAAAHvv63s=")</f>
        <v>#REF!</v>
      </c>
      <c r="DU31" t="e">
        <f>AND(#REF!,"AAAAAHvv63w=")</f>
        <v>#REF!</v>
      </c>
      <c r="DV31" t="e">
        <f>IF(#REF!,"AAAAAHvv630=",0)</f>
        <v>#REF!</v>
      </c>
      <c r="DW31" t="e">
        <f>AND(#REF!,"AAAAAHvv634=")</f>
        <v>#REF!</v>
      </c>
      <c r="DX31" t="e">
        <f>AND(#REF!,"AAAAAHvv638=")</f>
        <v>#REF!</v>
      </c>
      <c r="DY31" t="e">
        <f>AND(#REF!,"AAAAAHvv64A=")</f>
        <v>#REF!</v>
      </c>
      <c r="DZ31" t="e">
        <f>AND(#REF!,"AAAAAHvv64E=")</f>
        <v>#REF!</v>
      </c>
      <c r="EA31" t="e">
        <f>AND(#REF!,"AAAAAHvv64I=")</f>
        <v>#REF!</v>
      </c>
      <c r="EB31" t="e">
        <f>AND(#REF!,"AAAAAHvv64M=")</f>
        <v>#REF!</v>
      </c>
      <c r="EC31" t="e">
        <f>AND(#REF!,"AAAAAHvv64Q=")</f>
        <v>#REF!</v>
      </c>
      <c r="ED31" t="e">
        <f>AND(#REF!,"AAAAAHvv64U=")</f>
        <v>#REF!</v>
      </c>
      <c r="EE31" t="e">
        <f>AND(#REF!,"AAAAAHvv64Y=")</f>
        <v>#REF!</v>
      </c>
      <c r="EF31" t="e">
        <f>AND(#REF!,"AAAAAHvv64c=")</f>
        <v>#REF!</v>
      </c>
      <c r="EG31" t="e">
        <f>AND(#REF!,"AAAAAHvv64g=")</f>
        <v>#REF!</v>
      </c>
      <c r="EH31" t="e">
        <f>AND(#REF!,"AAAAAHvv64k=")</f>
        <v>#REF!</v>
      </c>
      <c r="EI31" t="e">
        <f>AND(#REF!,"AAAAAHvv64o=")</f>
        <v>#REF!</v>
      </c>
      <c r="EJ31" t="e">
        <f>AND(#REF!,"AAAAAHvv64s=")</f>
        <v>#REF!</v>
      </c>
      <c r="EK31" t="e">
        <f>AND(#REF!,"AAAAAHvv64w=")</f>
        <v>#REF!</v>
      </c>
      <c r="EL31" t="e">
        <f>AND(#REF!,"AAAAAHvv640=")</f>
        <v>#REF!</v>
      </c>
      <c r="EM31" t="e">
        <f>AND(#REF!,"AAAAAHvv644=")</f>
        <v>#REF!</v>
      </c>
      <c r="EN31" t="e">
        <f>AND(#REF!,"AAAAAHvv648=")</f>
        <v>#REF!</v>
      </c>
      <c r="EO31" t="e">
        <f>IF(#REF!,"AAAAAHvv65A=",0)</f>
        <v>#REF!</v>
      </c>
      <c r="EP31" t="e">
        <f>AND(#REF!,"AAAAAHvv65E=")</f>
        <v>#REF!</v>
      </c>
      <c r="EQ31" t="e">
        <f>AND(#REF!,"AAAAAHvv65I=")</f>
        <v>#REF!</v>
      </c>
      <c r="ER31" t="e">
        <f>AND(#REF!,"AAAAAHvv65M=")</f>
        <v>#REF!</v>
      </c>
      <c r="ES31" t="e">
        <f>AND(#REF!,"AAAAAHvv65Q=")</f>
        <v>#REF!</v>
      </c>
      <c r="ET31" t="e">
        <f>AND(#REF!,"AAAAAHvv65U=")</f>
        <v>#REF!</v>
      </c>
      <c r="EU31" t="e">
        <f>AND(#REF!,"AAAAAHvv65Y=")</f>
        <v>#REF!</v>
      </c>
      <c r="EV31" t="e">
        <f>AND(#REF!,"AAAAAHvv65c=")</f>
        <v>#REF!</v>
      </c>
      <c r="EW31" t="e">
        <f>AND(#REF!,"AAAAAHvv65g=")</f>
        <v>#REF!</v>
      </c>
      <c r="EX31" t="e">
        <f>AND(#REF!,"AAAAAHvv65k=")</f>
        <v>#REF!</v>
      </c>
      <c r="EY31" t="e">
        <f>AND(#REF!,"AAAAAHvv65o=")</f>
        <v>#REF!</v>
      </c>
      <c r="EZ31" t="e">
        <f>AND(#REF!,"AAAAAHvv65s=")</f>
        <v>#REF!</v>
      </c>
      <c r="FA31" t="e">
        <f>AND(#REF!,"AAAAAHvv65w=")</f>
        <v>#REF!</v>
      </c>
      <c r="FB31" t="e">
        <f>AND(#REF!,"AAAAAHvv650=")</f>
        <v>#REF!</v>
      </c>
      <c r="FC31" t="e">
        <f>AND(#REF!,"AAAAAHvv654=")</f>
        <v>#REF!</v>
      </c>
      <c r="FD31" t="e">
        <f>AND(#REF!,"AAAAAHvv658=")</f>
        <v>#REF!</v>
      </c>
      <c r="FE31" t="e">
        <f>AND(#REF!,"AAAAAHvv66A=")</f>
        <v>#REF!</v>
      </c>
      <c r="FF31" t="e">
        <f>AND(#REF!,"AAAAAHvv66E=")</f>
        <v>#REF!</v>
      </c>
      <c r="FG31" t="e">
        <f>AND(#REF!,"AAAAAHvv66I=")</f>
        <v>#REF!</v>
      </c>
      <c r="FH31" t="e">
        <f>IF(#REF!,"AAAAAHvv66M=",0)</f>
        <v>#REF!</v>
      </c>
      <c r="FI31" t="e">
        <f>AND(#REF!,"AAAAAHvv66Q=")</f>
        <v>#REF!</v>
      </c>
      <c r="FJ31" t="e">
        <f>AND(#REF!,"AAAAAHvv66U=")</f>
        <v>#REF!</v>
      </c>
      <c r="FK31" t="e">
        <f>AND(#REF!,"AAAAAHvv66Y=")</f>
        <v>#REF!</v>
      </c>
      <c r="FL31" t="e">
        <f>AND(#REF!,"AAAAAHvv66c=")</f>
        <v>#REF!</v>
      </c>
      <c r="FM31" t="e">
        <f>AND(#REF!,"AAAAAHvv66g=")</f>
        <v>#REF!</v>
      </c>
      <c r="FN31" t="e">
        <f>AND(#REF!,"AAAAAHvv66k=")</f>
        <v>#REF!</v>
      </c>
      <c r="FO31" t="e">
        <f>AND(#REF!,"AAAAAHvv66o=")</f>
        <v>#REF!</v>
      </c>
      <c r="FP31" t="e">
        <f>AND(#REF!,"AAAAAHvv66s=")</f>
        <v>#REF!</v>
      </c>
      <c r="FQ31" t="e">
        <f>AND(#REF!,"AAAAAHvv66w=")</f>
        <v>#REF!</v>
      </c>
      <c r="FR31" t="e">
        <f>AND(#REF!,"AAAAAHvv660=")</f>
        <v>#REF!</v>
      </c>
      <c r="FS31" t="e">
        <f>AND(#REF!,"AAAAAHvv664=")</f>
        <v>#REF!</v>
      </c>
      <c r="FT31" t="e">
        <f>AND(#REF!,"AAAAAHvv668=")</f>
        <v>#REF!</v>
      </c>
      <c r="FU31" t="e">
        <f>AND(#REF!,"AAAAAHvv67A=")</f>
        <v>#REF!</v>
      </c>
      <c r="FV31" t="e">
        <f>AND(#REF!,"AAAAAHvv67E=")</f>
        <v>#REF!</v>
      </c>
      <c r="FW31" t="e">
        <f>AND(#REF!,"AAAAAHvv67I=")</f>
        <v>#REF!</v>
      </c>
      <c r="FX31" t="e">
        <f>AND(#REF!,"AAAAAHvv67M=")</f>
        <v>#REF!</v>
      </c>
      <c r="FY31" t="e">
        <f>AND(#REF!,"AAAAAHvv67Q=")</f>
        <v>#REF!</v>
      </c>
      <c r="FZ31" t="e">
        <f>AND(#REF!,"AAAAAHvv67U=")</f>
        <v>#REF!</v>
      </c>
      <c r="GA31" t="e">
        <f>IF(#REF!,"AAAAAHvv67Y=",0)</f>
        <v>#REF!</v>
      </c>
      <c r="GB31" t="e">
        <f>AND(#REF!,"AAAAAHvv67c=")</f>
        <v>#REF!</v>
      </c>
      <c r="GC31" t="e">
        <f>AND(#REF!,"AAAAAHvv67g=")</f>
        <v>#REF!</v>
      </c>
      <c r="GD31" t="e">
        <f>AND(#REF!,"AAAAAHvv67k=")</f>
        <v>#REF!</v>
      </c>
      <c r="GE31" t="e">
        <f>AND(#REF!,"AAAAAHvv67o=")</f>
        <v>#REF!</v>
      </c>
      <c r="GF31" t="e">
        <f>AND(#REF!,"AAAAAHvv67s=")</f>
        <v>#REF!</v>
      </c>
      <c r="GG31" t="e">
        <f>AND(#REF!,"AAAAAHvv67w=")</f>
        <v>#REF!</v>
      </c>
      <c r="GH31" t="e">
        <f>AND(#REF!,"AAAAAHvv670=")</f>
        <v>#REF!</v>
      </c>
      <c r="GI31" t="e">
        <f>AND(#REF!,"AAAAAHvv674=")</f>
        <v>#REF!</v>
      </c>
      <c r="GJ31" t="e">
        <f>AND(#REF!,"AAAAAHvv678=")</f>
        <v>#REF!</v>
      </c>
      <c r="GK31" t="e">
        <f>AND(#REF!,"AAAAAHvv68A=")</f>
        <v>#REF!</v>
      </c>
      <c r="GL31" t="e">
        <f>AND(#REF!,"AAAAAHvv68E=")</f>
        <v>#REF!</v>
      </c>
      <c r="GM31" t="e">
        <f>AND(#REF!,"AAAAAHvv68I=")</f>
        <v>#REF!</v>
      </c>
      <c r="GN31" t="e">
        <f>AND(#REF!,"AAAAAHvv68M=")</f>
        <v>#REF!</v>
      </c>
      <c r="GO31" t="e">
        <f>AND(#REF!,"AAAAAHvv68Q=")</f>
        <v>#REF!</v>
      </c>
      <c r="GP31" t="e">
        <f>AND(#REF!,"AAAAAHvv68U=")</f>
        <v>#REF!</v>
      </c>
      <c r="GQ31" t="e">
        <f>AND(#REF!,"AAAAAHvv68Y=")</f>
        <v>#REF!</v>
      </c>
      <c r="GR31" t="e">
        <f>AND(#REF!,"AAAAAHvv68c=")</f>
        <v>#REF!</v>
      </c>
      <c r="GS31" t="e">
        <f>AND(#REF!,"AAAAAHvv68g=")</f>
        <v>#REF!</v>
      </c>
      <c r="GT31" t="e">
        <f>IF(#REF!,"AAAAAHvv68k=",0)</f>
        <v>#REF!</v>
      </c>
      <c r="GU31" t="e">
        <f>AND(#REF!,"AAAAAHvv68o=")</f>
        <v>#REF!</v>
      </c>
      <c r="GV31" t="e">
        <f>AND(#REF!,"AAAAAHvv68s=")</f>
        <v>#REF!</v>
      </c>
      <c r="GW31" t="e">
        <f>AND(#REF!,"AAAAAHvv68w=")</f>
        <v>#REF!</v>
      </c>
      <c r="GX31" t="e">
        <f>AND(#REF!,"AAAAAHvv680=")</f>
        <v>#REF!</v>
      </c>
      <c r="GY31" t="e">
        <f>AND(#REF!,"AAAAAHvv684=")</f>
        <v>#REF!</v>
      </c>
      <c r="GZ31" t="e">
        <f>AND(#REF!,"AAAAAHvv688=")</f>
        <v>#REF!</v>
      </c>
      <c r="HA31" t="e">
        <f>AND(#REF!,"AAAAAHvv69A=")</f>
        <v>#REF!</v>
      </c>
      <c r="HB31" t="e">
        <f>AND(#REF!,"AAAAAHvv69E=")</f>
        <v>#REF!</v>
      </c>
      <c r="HC31" t="e">
        <f>AND(#REF!,"AAAAAHvv69I=")</f>
        <v>#REF!</v>
      </c>
      <c r="HD31" t="e">
        <f>AND(#REF!,"AAAAAHvv69M=")</f>
        <v>#REF!</v>
      </c>
      <c r="HE31" t="e">
        <f>AND(#REF!,"AAAAAHvv69Q=")</f>
        <v>#REF!</v>
      </c>
      <c r="HF31" t="e">
        <f>AND(#REF!,"AAAAAHvv69U=")</f>
        <v>#REF!</v>
      </c>
      <c r="HG31" t="e">
        <f>AND(#REF!,"AAAAAHvv69Y=")</f>
        <v>#REF!</v>
      </c>
      <c r="HH31" t="e">
        <f>AND(#REF!,"AAAAAHvv69c=")</f>
        <v>#REF!</v>
      </c>
      <c r="HI31" t="e">
        <f>AND(#REF!,"AAAAAHvv69g=")</f>
        <v>#REF!</v>
      </c>
      <c r="HJ31" t="e">
        <f>AND(#REF!,"AAAAAHvv69k=")</f>
        <v>#REF!</v>
      </c>
      <c r="HK31" t="e">
        <f>AND(#REF!,"AAAAAHvv69o=")</f>
        <v>#REF!</v>
      </c>
      <c r="HL31" t="e">
        <f>AND(#REF!,"AAAAAHvv69s=")</f>
        <v>#REF!</v>
      </c>
      <c r="HM31" t="e">
        <f>IF(#REF!,"AAAAAHvv69w=",0)</f>
        <v>#REF!</v>
      </c>
      <c r="HN31" t="e">
        <f>AND(#REF!,"AAAAAHvv690=")</f>
        <v>#REF!</v>
      </c>
      <c r="HO31" t="e">
        <f>AND(#REF!,"AAAAAHvv694=")</f>
        <v>#REF!</v>
      </c>
      <c r="HP31" t="e">
        <f>AND(#REF!,"AAAAAHvv698=")</f>
        <v>#REF!</v>
      </c>
      <c r="HQ31" t="e">
        <f>AND(#REF!,"AAAAAHvv6+A=")</f>
        <v>#REF!</v>
      </c>
      <c r="HR31" t="e">
        <f>AND(#REF!,"AAAAAHvv6+E=")</f>
        <v>#REF!</v>
      </c>
      <c r="HS31" t="e">
        <f>AND(#REF!,"AAAAAHvv6+I=")</f>
        <v>#REF!</v>
      </c>
      <c r="HT31" t="e">
        <f>AND(#REF!,"AAAAAHvv6+M=")</f>
        <v>#REF!</v>
      </c>
      <c r="HU31" t="e">
        <f>AND(#REF!,"AAAAAHvv6+Q=")</f>
        <v>#REF!</v>
      </c>
      <c r="HV31" t="e">
        <f>AND(#REF!,"AAAAAHvv6+U=")</f>
        <v>#REF!</v>
      </c>
      <c r="HW31" t="e">
        <f>AND(#REF!,"AAAAAHvv6+Y=")</f>
        <v>#REF!</v>
      </c>
      <c r="HX31" t="e">
        <f>AND(#REF!,"AAAAAHvv6+c=")</f>
        <v>#REF!</v>
      </c>
      <c r="HY31" t="e">
        <f>AND(#REF!,"AAAAAHvv6+g=")</f>
        <v>#REF!</v>
      </c>
      <c r="HZ31" t="e">
        <f>AND(#REF!,"AAAAAHvv6+k=")</f>
        <v>#REF!</v>
      </c>
      <c r="IA31" t="e">
        <f>AND(#REF!,"AAAAAHvv6+o=")</f>
        <v>#REF!</v>
      </c>
      <c r="IB31" t="e">
        <f>AND(#REF!,"AAAAAHvv6+s=")</f>
        <v>#REF!</v>
      </c>
      <c r="IC31" t="e">
        <f>AND(#REF!,"AAAAAHvv6+w=")</f>
        <v>#REF!</v>
      </c>
      <c r="ID31" t="e">
        <f>AND(#REF!,"AAAAAHvv6+0=")</f>
        <v>#REF!</v>
      </c>
      <c r="IE31" t="e">
        <f>AND(#REF!,"AAAAAHvv6+4=")</f>
        <v>#REF!</v>
      </c>
      <c r="IF31" t="e">
        <f>IF(#REF!,"AAAAAHvv6+8=",0)</f>
        <v>#REF!</v>
      </c>
      <c r="IG31" t="e">
        <f>AND(#REF!,"AAAAAHvv6/A=")</f>
        <v>#REF!</v>
      </c>
      <c r="IH31" t="e">
        <f>AND(#REF!,"AAAAAHvv6/E=")</f>
        <v>#REF!</v>
      </c>
      <c r="II31" t="e">
        <f>AND(#REF!,"AAAAAHvv6/I=")</f>
        <v>#REF!</v>
      </c>
      <c r="IJ31" t="e">
        <f>AND(#REF!,"AAAAAHvv6/M=")</f>
        <v>#REF!</v>
      </c>
      <c r="IK31" t="e">
        <f>AND(#REF!,"AAAAAHvv6/Q=")</f>
        <v>#REF!</v>
      </c>
      <c r="IL31" t="e">
        <f>AND(#REF!,"AAAAAHvv6/U=")</f>
        <v>#REF!</v>
      </c>
      <c r="IM31" t="e">
        <f>AND(#REF!,"AAAAAHvv6/Y=")</f>
        <v>#REF!</v>
      </c>
      <c r="IN31" t="e">
        <f>AND(#REF!,"AAAAAHvv6/c=")</f>
        <v>#REF!</v>
      </c>
      <c r="IO31" t="e">
        <f>AND(#REF!,"AAAAAHvv6/g=")</f>
        <v>#REF!</v>
      </c>
      <c r="IP31" t="e">
        <f>AND(#REF!,"AAAAAHvv6/k=")</f>
        <v>#REF!</v>
      </c>
      <c r="IQ31" t="e">
        <f>AND(#REF!,"AAAAAHvv6/o=")</f>
        <v>#REF!</v>
      </c>
      <c r="IR31" t="e">
        <f>AND(#REF!,"AAAAAHvv6/s=")</f>
        <v>#REF!</v>
      </c>
      <c r="IS31" t="e">
        <f>AND(#REF!,"AAAAAHvv6/w=")</f>
        <v>#REF!</v>
      </c>
      <c r="IT31" t="e">
        <f>AND(#REF!,"AAAAAHvv6/0=")</f>
        <v>#REF!</v>
      </c>
      <c r="IU31" t="e">
        <f>AND(#REF!,"AAAAAHvv6/4=")</f>
        <v>#REF!</v>
      </c>
      <c r="IV31" t="e">
        <f>AND(#REF!,"AAAAAHvv6/8=")</f>
        <v>#REF!</v>
      </c>
    </row>
    <row r="32" spans="1:256" x14ac:dyDescent="0.15">
      <c r="A32" t="e">
        <f>AND(#REF!,"AAAAADfx+QA=")</f>
        <v>#REF!</v>
      </c>
      <c r="B32" t="e">
        <f>AND(#REF!,"AAAAADfx+QE=")</f>
        <v>#REF!</v>
      </c>
      <c r="C32" t="e">
        <f>IF(#REF!,"AAAAADfx+QI=",0)</f>
        <v>#REF!</v>
      </c>
      <c r="D32" t="e">
        <f>AND(#REF!,"AAAAADfx+QM=")</f>
        <v>#REF!</v>
      </c>
      <c r="E32" t="e">
        <f>AND(#REF!,"AAAAADfx+QQ=")</f>
        <v>#REF!</v>
      </c>
      <c r="F32" t="e">
        <f>AND(#REF!,"AAAAADfx+QU=")</f>
        <v>#REF!</v>
      </c>
      <c r="G32" t="e">
        <f>AND(#REF!,"AAAAADfx+QY=")</f>
        <v>#REF!</v>
      </c>
      <c r="H32" t="e">
        <f>AND(#REF!,"AAAAADfx+Qc=")</f>
        <v>#REF!</v>
      </c>
      <c r="I32" t="e">
        <f>AND(#REF!,"AAAAADfx+Qg=")</f>
        <v>#REF!</v>
      </c>
      <c r="J32" t="e">
        <f>AND(#REF!,"AAAAADfx+Qk=")</f>
        <v>#REF!</v>
      </c>
      <c r="K32" t="e">
        <f>AND(#REF!,"AAAAADfx+Qo=")</f>
        <v>#REF!</v>
      </c>
      <c r="L32" t="e">
        <f>AND(#REF!,"AAAAADfx+Qs=")</f>
        <v>#REF!</v>
      </c>
      <c r="M32" t="e">
        <f>AND(#REF!,"AAAAADfx+Qw=")</f>
        <v>#REF!</v>
      </c>
      <c r="N32" t="e">
        <f>AND(#REF!,"AAAAADfx+Q0=")</f>
        <v>#REF!</v>
      </c>
      <c r="O32" t="e">
        <f>AND(#REF!,"AAAAADfx+Q4=")</f>
        <v>#REF!</v>
      </c>
      <c r="P32" t="e">
        <f>AND(#REF!,"AAAAADfx+Q8=")</f>
        <v>#REF!</v>
      </c>
      <c r="Q32" t="e">
        <f>AND(#REF!,"AAAAADfx+RA=")</f>
        <v>#REF!</v>
      </c>
      <c r="R32" t="e">
        <f>AND(#REF!,"AAAAADfx+RE=")</f>
        <v>#REF!</v>
      </c>
      <c r="S32" t="e">
        <f>AND(#REF!,"AAAAADfx+RI=")</f>
        <v>#REF!</v>
      </c>
      <c r="T32" t="e">
        <f>AND(#REF!,"AAAAADfx+RM=")</f>
        <v>#REF!</v>
      </c>
      <c r="U32" t="e">
        <f>AND(#REF!,"AAAAADfx+RQ=")</f>
        <v>#REF!</v>
      </c>
      <c r="V32" t="e">
        <f>IF(#REF!,"AAAAADfx+RU=",0)</f>
        <v>#REF!</v>
      </c>
      <c r="W32" t="e">
        <f>AND(#REF!,"AAAAADfx+RY=")</f>
        <v>#REF!</v>
      </c>
      <c r="X32" t="e">
        <f>AND(#REF!,"AAAAADfx+Rc=")</f>
        <v>#REF!</v>
      </c>
      <c r="Y32" t="e">
        <f>AND(#REF!,"AAAAADfx+Rg=")</f>
        <v>#REF!</v>
      </c>
      <c r="Z32" t="e">
        <f>AND(#REF!,"AAAAADfx+Rk=")</f>
        <v>#REF!</v>
      </c>
      <c r="AA32" t="e">
        <f>AND(#REF!,"AAAAADfx+Ro=")</f>
        <v>#REF!</v>
      </c>
      <c r="AB32" t="e">
        <f>AND(#REF!,"AAAAADfx+Rs=")</f>
        <v>#REF!</v>
      </c>
      <c r="AC32" t="e">
        <f>AND(#REF!,"AAAAADfx+Rw=")</f>
        <v>#REF!</v>
      </c>
      <c r="AD32" t="e">
        <f>AND(#REF!,"AAAAADfx+R0=")</f>
        <v>#REF!</v>
      </c>
      <c r="AE32" t="e">
        <f>AND(#REF!,"AAAAADfx+R4=")</f>
        <v>#REF!</v>
      </c>
      <c r="AF32" t="e">
        <f>AND(#REF!,"AAAAADfx+R8=")</f>
        <v>#REF!</v>
      </c>
      <c r="AG32" t="e">
        <f>AND(#REF!,"AAAAADfx+SA=")</f>
        <v>#REF!</v>
      </c>
      <c r="AH32" t="e">
        <f>AND(#REF!,"AAAAADfx+SE=")</f>
        <v>#REF!</v>
      </c>
      <c r="AI32" t="e">
        <f>AND(#REF!,"AAAAADfx+SI=")</f>
        <v>#REF!</v>
      </c>
      <c r="AJ32" t="e">
        <f>AND(#REF!,"AAAAADfx+SM=")</f>
        <v>#REF!</v>
      </c>
      <c r="AK32" t="e">
        <f>AND(#REF!,"AAAAADfx+SQ=")</f>
        <v>#REF!</v>
      </c>
      <c r="AL32" t="e">
        <f>AND(#REF!,"AAAAADfx+SU=")</f>
        <v>#REF!</v>
      </c>
      <c r="AM32" t="e">
        <f>AND(#REF!,"AAAAADfx+SY=")</f>
        <v>#REF!</v>
      </c>
      <c r="AN32" t="e">
        <f>AND(#REF!,"AAAAADfx+Sc=")</f>
        <v>#REF!</v>
      </c>
      <c r="AO32" t="e">
        <f>IF(#REF!,"AAAAADfx+Sg=",0)</f>
        <v>#REF!</v>
      </c>
      <c r="AP32" t="e">
        <f>AND(#REF!,"AAAAADfx+Sk=")</f>
        <v>#REF!</v>
      </c>
      <c r="AQ32" t="e">
        <f>AND(#REF!,"AAAAADfx+So=")</f>
        <v>#REF!</v>
      </c>
      <c r="AR32" t="e">
        <f>AND(#REF!,"AAAAADfx+Ss=")</f>
        <v>#REF!</v>
      </c>
      <c r="AS32" t="e">
        <f>AND(#REF!,"AAAAADfx+Sw=")</f>
        <v>#REF!</v>
      </c>
      <c r="AT32" t="e">
        <f>AND(#REF!,"AAAAADfx+S0=")</f>
        <v>#REF!</v>
      </c>
      <c r="AU32" t="e">
        <f>AND(#REF!,"AAAAADfx+S4=")</f>
        <v>#REF!</v>
      </c>
      <c r="AV32" t="e">
        <f>AND(#REF!,"AAAAADfx+S8=")</f>
        <v>#REF!</v>
      </c>
      <c r="AW32" t="e">
        <f>AND(#REF!,"AAAAADfx+TA=")</f>
        <v>#REF!</v>
      </c>
      <c r="AX32" t="e">
        <f>AND(#REF!,"AAAAADfx+TE=")</f>
        <v>#REF!</v>
      </c>
      <c r="AY32" t="e">
        <f>AND(#REF!,"AAAAADfx+TI=")</f>
        <v>#REF!</v>
      </c>
      <c r="AZ32" t="e">
        <f>AND(#REF!,"AAAAADfx+TM=")</f>
        <v>#REF!</v>
      </c>
      <c r="BA32" t="e">
        <f>AND(#REF!,"AAAAADfx+TQ=")</f>
        <v>#REF!</v>
      </c>
      <c r="BB32" t="e">
        <f>AND(#REF!,"AAAAADfx+TU=")</f>
        <v>#REF!</v>
      </c>
      <c r="BC32" t="e">
        <f>AND(#REF!,"AAAAADfx+TY=")</f>
        <v>#REF!</v>
      </c>
      <c r="BD32" t="e">
        <f>AND(#REF!,"AAAAADfx+Tc=")</f>
        <v>#REF!</v>
      </c>
      <c r="BE32" t="e">
        <f>AND(#REF!,"AAAAADfx+Tg=")</f>
        <v>#REF!</v>
      </c>
      <c r="BF32" t="e">
        <f>AND(#REF!,"AAAAADfx+Tk=")</f>
        <v>#REF!</v>
      </c>
      <c r="BG32" t="e">
        <f>AND(#REF!,"AAAAADfx+To=")</f>
        <v>#REF!</v>
      </c>
      <c r="BH32" t="e">
        <f>IF(#REF!,"AAAAADfx+Ts=",0)</f>
        <v>#REF!</v>
      </c>
      <c r="BI32" t="e">
        <f>AND(#REF!,"AAAAADfx+Tw=")</f>
        <v>#REF!</v>
      </c>
      <c r="BJ32" t="e">
        <f>AND(#REF!,"AAAAADfx+T0=")</f>
        <v>#REF!</v>
      </c>
      <c r="BK32" t="e">
        <f>AND(#REF!,"AAAAADfx+T4=")</f>
        <v>#REF!</v>
      </c>
      <c r="BL32" t="e">
        <f>AND(#REF!,"AAAAADfx+T8=")</f>
        <v>#REF!</v>
      </c>
      <c r="BM32" t="e">
        <f>AND(#REF!,"AAAAADfx+UA=")</f>
        <v>#REF!</v>
      </c>
      <c r="BN32" t="e">
        <f>AND(#REF!,"AAAAADfx+UE=")</f>
        <v>#REF!</v>
      </c>
      <c r="BO32" t="e">
        <f>AND(#REF!,"AAAAADfx+UI=")</f>
        <v>#REF!</v>
      </c>
      <c r="BP32" t="e">
        <f>AND(#REF!,"AAAAADfx+UM=")</f>
        <v>#REF!</v>
      </c>
      <c r="BQ32" t="e">
        <f>AND(#REF!,"AAAAADfx+UQ=")</f>
        <v>#REF!</v>
      </c>
      <c r="BR32" t="e">
        <f>AND(#REF!,"AAAAADfx+UU=")</f>
        <v>#REF!</v>
      </c>
      <c r="BS32" t="e">
        <f>AND(#REF!,"AAAAADfx+UY=")</f>
        <v>#REF!</v>
      </c>
      <c r="BT32" t="e">
        <f>AND(#REF!,"AAAAADfx+Uc=")</f>
        <v>#REF!</v>
      </c>
      <c r="BU32" t="e">
        <f>AND(#REF!,"AAAAADfx+Ug=")</f>
        <v>#REF!</v>
      </c>
      <c r="BV32" t="e">
        <f>AND(#REF!,"AAAAADfx+Uk=")</f>
        <v>#REF!</v>
      </c>
      <c r="BW32" t="e">
        <f>AND(#REF!,"AAAAADfx+Uo=")</f>
        <v>#REF!</v>
      </c>
      <c r="BX32" t="e">
        <f>AND(#REF!,"AAAAADfx+Us=")</f>
        <v>#REF!</v>
      </c>
      <c r="BY32" t="e">
        <f>AND(#REF!,"AAAAADfx+Uw=")</f>
        <v>#REF!</v>
      </c>
      <c r="BZ32" t="e">
        <f>AND(#REF!,"AAAAADfx+U0=")</f>
        <v>#REF!</v>
      </c>
      <c r="CA32" t="e">
        <f>IF(#REF!,"AAAAADfx+U4=",0)</f>
        <v>#REF!</v>
      </c>
      <c r="CB32" t="e">
        <f>AND(#REF!,"AAAAADfx+U8=")</f>
        <v>#REF!</v>
      </c>
      <c r="CC32" t="e">
        <f>AND(#REF!,"AAAAADfx+VA=")</f>
        <v>#REF!</v>
      </c>
      <c r="CD32" t="e">
        <f>AND(#REF!,"AAAAADfx+VE=")</f>
        <v>#REF!</v>
      </c>
      <c r="CE32" t="e">
        <f>AND(#REF!,"AAAAADfx+VI=")</f>
        <v>#REF!</v>
      </c>
      <c r="CF32" t="e">
        <f>AND(#REF!,"AAAAADfx+VM=")</f>
        <v>#REF!</v>
      </c>
      <c r="CG32" t="e">
        <f>AND(#REF!,"AAAAADfx+VQ=")</f>
        <v>#REF!</v>
      </c>
      <c r="CH32" t="e">
        <f>AND(#REF!,"AAAAADfx+VU=")</f>
        <v>#REF!</v>
      </c>
      <c r="CI32" t="e">
        <f>AND(#REF!,"AAAAADfx+VY=")</f>
        <v>#REF!</v>
      </c>
      <c r="CJ32" t="e">
        <f>AND(#REF!,"AAAAADfx+Vc=")</f>
        <v>#REF!</v>
      </c>
      <c r="CK32" t="e">
        <f>AND(#REF!,"AAAAADfx+Vg=")</f>
        <v>#REF!</v>
      </c>
      <c r="CL32" t="e">
        <f>AND(#REF!,"AAAAADfx+Vk=")</f>
        <v>#REF!</v>
      </c>
      <c r="CM32" t="e">
        <f>AND(#REF!,"AAAAADfx+Vo=")</f>
        <v>#REF!</v>
      </c>
      <c r="CN32" t="e">
        <f>AND(#REF!,"AAAAADfx+Vs=")</f>
        <v>#REF!</v>
      </c>
      <c r="CO32" t="e">
        <f>AND(#REF!,"AAAAADfx+Vw=")</f>
        <v>#REF!</v>
      </c>
      <c r="CP32" t="e">
        <f>AND(#REF!,"AAAAADfx+V0=")</f>
        <v>#REF!</v>
      </c>
      <c r="CQ32" t="e">
        <f>AND(#REF!,"AAAAADfx+V4=")</f>
        <v>#REF!</v>
      </c>
      <c r="CR32" t="e">
        <f>AND(#REF!,"AAAAADfx+V8=")</f>
        <v>#REF!</v>
      </c>
      <c r="CS32" t="e">
        <f>AND(#REF!,"AAAAADfx+WA=")</f>
        <v>#REF!</v>
      </c>
      <c r="CT32" t="e">
        <f>IF(#REF!,"AAAAADfx+WE=",0)</f>
        <v>#REF!</v>
      </c>
      <c r="CU32" t="e">
        <f>AND(#REF!,"AAAAADfx+WI=")</f>
        <v>#REF!</v>
      </c>
      <c r="CV32" t="e">
        <f>AND(#REF!,"AAAAADfx+WM=")</f>
        <v>#REF!</v>
      </c>
      <c r="CW32" t="e">
        <f>AND(#REF!,"AAAAADfx+WQ=")</f>
        <v>#REF!</v>
      </c>
      <c r="CX32" t="e">
        <f>AND(#REF!,"AAAAADfx+WU=")</f>
        <v>#REF!</v>
      </c>
      <c r="CY32" t="e">
        <f>AND(#REF!,"AAAAADfx+WY=")</f>
        <v>#REF!</v>
      </c>
      <c r="CZ32" t="e">
        <f>AND(#REF!,"AAAAADfx+Wc=")</f>
        <v>#REF!</v>
      </c>
      <c r="DA32" t="e">
        <f>AND(#REF!,"AAAAADfx+Wg=")</f>
        <v>#REF!</v>
      </c>
      <c r="DB32" t="e">
        <f>AND(#REF!,"AAAAADfx+Wk=")</f>
        <v>#REF!</v>
      </c>
      <c r="DC32" t="e">
        <f>AND(#REF!,"AAAAADfx+Wo=")</f>
        <v>#REF!</v>
      </c>
      <c r="DD32" t="e">
        <f>AND(#REF!,"AAAAADfx+Ws=")</f>
        <v>#REF!</v>
      </c>
      <c r="DE32" t="e">
        <f>AND(#REF!,"AAAAADfx+Ww=")</f>
        <v>#REF!</v>
      </c>
      <c r="DF32" t="e">
        <f>AND(#REF!,"AAAAADfx+W0=")</f>
        <v>#REF!</v>
      </c>
      <c r="DG32" t="e">
        <f>AND(#REF!,"AAAAADfx+W4=")</f>
        <v>#REF!</v>
      </c>
      <c r="DH32" t="e">
        <f>AND(#REF!,"AAAAADfx+W8=")</f>
        <v>#REF!</v>
      </c>
      <c r="DI32" t="e">
        <f>AND(#REF!,"AAAAADfx+XA=")</f>
        <v>#REF!</v>
      </c>
      <c r="DJ32" t="e">
        <f>AND(#REF!,"AAAAADfx+XE=")</f>
        <v>#REF!</v>
      </c>
      <c r="DK32" t="e">
        <f>AND(#REF!,"AAAAADfx+XI=")</f>
        <v>#REF!</v>
      </c>
      <c r="DL32" t="e">
        <f>AND(#REF!,"AAAAADfx+XM=")</f>
        <v>#REF!</v>
      </c>
      <c r="DM32" t="e">
        <f>IF(#REF!,"AAAAADfx+XQ=",0)</f>
        <v>#REF!</v>
      </c>
      <c r="DN32" t="e">
        <f>AND(#REF!,"AAAAADfx+XU=")</f>
        <v>#REF!</v>
      </c>
      <c r="DO32" t="e">
        <f>AND(#REF!,"AAAAADfx+XY=")</f>
        <v>#REF!</v>
      </c>
      <c r="DP32" t="e">
        <f>AND(#REF!,"AAAAADfx+Xc=")</f>
        <v>#REF!</v>
      </c>
      <c r="DQ32" t="e">
        <f>AND(#REF!,"AAAAADfx+Xg=")</f>
        <v>#REF!</v>
      </c>
      <c r="DR32" t="e">
        <f>AND(#REF!,"AAAAADfx+Xk=")</f>
        <v>#REF!</v>
      </c>
      <c r="DS32" t="e">
        <f>AND(#REF!,"AAAAADfx+Xo=")</f>
        <v>#REF!</v>
      </c>
      <c r="DT32" t="e">
        <f>AND(#REF!,"AAAAADfx+Xs=")</f>
        <v>#REF!</v>
      </c>
      <c r="DU32" t="e">
        <f>AND(#REF!,"AAAAADfx+Xw=")</f>
        <v>#REF!</v>
      </c>
      <c r="DV32" t="e">
        <f>AND(#REF!,"AAAAADfx+X0=")</f>
        <v>#REF!</v>
      </c>
      <c r="DW32" t="e">
        <f>AND(#REF!,"AAAAADfx+X4=")</f>
        <v>#REF!</v>
      </c>
      <c r="DX32" t="e">
        <f>AND(#REF!,"AAAAADfx+X8=")</f>
        <v>#REF!</v>
      </c>
      <c r="DY32" t="e">
        <f>AND(#REF!,"AAAAADfx+YA=")</f>
        <v>#REF!</v>
      </c>
      <c r="DZ32" t="e">
        <f>AND(#REF!,"AAAAADfx+YE=")</f>
        <v>#REF!</v>
      </c>
      <c r="EA32" t="e">
        <f>AND(#REF!,"AAAAADfx+YI=")</f>
        <v>#REF!</v>
      </c>
      <c r="EB32" t="e">
        <f>AND(#REF!,"AAAAADfx+YM=")</f>
        <v>#REF!</v>
      </c>
      <c r="EC32" t="e">
        <f>AND(#REF!,"AAAAADfx+YQ=")</f>
        <v>#REF!</v>
      </c>
      <c r="ED32" t="e">
        <f>AND(#REF!,"AAAAADfx+YU=")</f>
        <v>#REF!</v>
      </c>
      <c r="EE32" t="e">
        <f>AND(#REF!,"AAAAADfx+YY=")</f>
        <v>#REF!</v>
      </c>
      <c r="EF32" t="e">
        <f>IF(#REF!,"AAAAADfx+Yc=",0)</f>
        <v>#REF!</v>
      </c>
      <c r="EG32" t="e">
        <f>AND(#REF!,"AAAAADfx+Yg=")</f>
        <v>#REF!</v>
      </c>
      <c r="EH32" t="e">
        <f>AND(#REF!,"AAAAADfx+Yk=")</f>
        <v>#REF!</v>
      </c>
      <c r="EI32" t="e">
        <f>AND(#REF!,"AAAAADfx+Yo=")</f>
        <v>#REF!</v>
      </c>
      <c r="EJ32" t="e">
        <f>AND(#REF!,"AAAAADfx+Ys=")</f>
        <v>#REF!</v>
      </c>
      <c r="EK32" t="e">
        <f>AND(#REF!,"AAAAADfx+Yw=")</f>
        <v>#REF!</v>
      </c>
      <c r="EL32" t="e">
        <f>AND(#REF!,"AAAAADfx+Y0=")</f>
        <v>#REF!</v>
      </c>
      <c r="EM32" t="e">
        <f>AND(#REF!,"AAAAADfx+Y4=")</f>
        <v>#REF!</v>
      </c>
      <c r="EN32" t="e">
        <f>AND(#REF!,"AAAAADfx+Y8=")</f>
        <v>#REF!</v>
      </c>
      <c r="EO32" t="e">
        <f>AND(#REF!,"AAAAADfx+ZA=")</f>
        <v>#REF!</v>
      </c>
      <c r="EP32" t="e">
        <f>AND(#REF!,"AAAAADfx+ZE=")</f>
        <v>#REF!</v>
      </c>
      <c r="EQ32" t="e">
        <f>AND(#REF!,"AAAAADfx+ZI=")</f>
        <v>#REF!</v>
      </c>
      <c r="ER32" t="e">
        <f>AND(#REF!,"AAAAADfx+ZM=")</f>
        <v>#REF!</v>
      </c>
      <c r="ES32" t="e">
        <f>AND(#REF!,"AAAAADfx+ZQ=")</f>
        <v>#REF!</v>
      </c>
      <c r="ET32" t="e">
        <f>AND(#REF!,"AAAAADfx+ZU=")</f>
        <v>#REF!</v>
      </c>
      <c r="EU32" t="e">
        <f>AND(#REF!,"AAAAADfx+ZY=")</f>
        <v>#REF!</v>
      </c>
      <c r="EV32" t="e">
        <f>AND(#REF!,"AAAAADfx+Zc=")</f>
        <v>#REF!</v>
      </c>
      <c r="EW32" t="e">
        <f>AND(#REF!,"AAAAADfx+Zg=")</f>
        <v>#REF!</v>
      </c>
      <c r="EX32" t="e">
        <f>AND(#REF!,"AAAAADfx+Zk=")</f>
        <v>#REF!</v>
      </c>
      <c r="EY32" t="e">
        <f>IF(#REF!,"AAAAADfx+Zo=",0)</f>
        <v>#REF!</v>
      </c>
      <c r="EZ32" t="e">
        <f>AND(#REF!,"AAAAADfx+Zs=")</f>
        <v>#REF!</v>
      </c>
      <c r="FA32" t="e">
        <f>AND(#REF!,"AAAAADfx+Zw=")</f>
        <v>#REF!</v>
      </c>
      <c r="FB32" t="e">
        <f>AND(#REF!,"AAAAADfx+Z0=")</f>
        <v>#REF!</v>
      </c>
      <c r="FC32" t="e">
        <f>AND(#REF!,"AAAAADfx+Z4=")</f>
        <v>#REF!</v>
      </c>
      <c r="FD32" t="e">
        <f>AND(#REF!,"AAAAADfx+Z8=")</f>
        <v>#REF!</v>
      </c>
      <c r="FE32" t="e">
        <f>AND(#REF!,"AAAAADfx+aA=")</f>
        <v>#REF!</v>
      </c>
      <c r="FF32" t="e">
        <f>AND(#REF!,"AAAAADfx+aE=")</f>
        <v>#REF!</v>
      </c>
      <c r="FG32" t="e">
        <f>AND(#REF!,"AAAAADfx+aI=")</f>
        <v>#REF!</v>
      </c>
      <c r="FH32" t="e">
        <f>AND(#REF!,"AAAAADfx+aM=")</f>
        <v>#REF!</v>
      </c>
      <c r="FI32" t="e">
        <f>AND(#REF!,"AAAAADfx+aQ=")</f>
        <v>#REF!</v>
      </c>
      <c r="FJ32" t="e">
        <f>AND(#REF!,"AAAAADfx+aU=")</f>
        <v>#REF!</v>
      </c>
      <c r="FK32" t="e">
        <f>AND(#REF!,"AAAAADfx+aY=")</f>
        <v>#REF!</v>
      </c>
      <c r="FL32" t="e">
        <f>AND(#REF!,"AAAAADfx+ac=")</f>
        <v>#REF!</v>
      </c>
      <c r="FM32" t="e">
        <f>AND(#REF!,"AAAAADfx+ag=")</f>
        <v>#REF!</v>
      </c>
      <c r="FN32" t="e">
        <f>AND(#REF!,"AAAAADfx+ak=")</f>
        <v>#REF!</v>
      </c>
      <c r="FO32" t="e">
        <f>AND(#REF!,"AAAAADfx+ao=")</f>
        <v>#REF!</v>
      </c>
      <c r="FP32" t="e">
        <f>AND(#REF!,"AAAAADfx+as=")</f>
        <v>#REF!</v>
      </c>
      <c r="FQ32" t="e">
        <f>AND(#REF!,"AAAAADfx+aw=")</f>
        <v>#REF!</v>
      </c>
      <c r="FR32" t="e">
        <f>IF(#REF!,"AAAAADfx+a0=",0)</f>
        <v>#REF!</v>
      </c>
      <c r="FS32" t="e">
        <f>AND(#REF!,"AAAAADfx+a4=")</f>
        <v>#REF!</v>
      </c>
      <c r="FT32" t="e">
        <f>AND(#REF!,"AAAAADfx+a8=")</f>
        <v>#REF!</v>
      </c>
      <c r="FU32" t="e">
        <f>AND(#REF!,"AAAAADfx+bA=")</f>
        <v>#REF!</v>
      </c>
      <c r="FV32" t="e">
        <f>AND(#REF!,"AAAAADfx+bE=")</f>
        <v>#REF!</v>
      </c>
      <c r="FW32" t="e">
        <f>AND(#REF!,"AAAAADfx+bI=")</f>
        <v>#REF!</v>
      </c>
      <c r="FX32" t="e">
        <f>AND(#REF!,"AAAAADfx+bM=")</f>
        <v>#REF!</v>
      </c>
      <c r="FY32" t="e">
        <f>AND(#REF!,"AAAAADfx+bQ=")</f>
        <v>#REF!</v>
      </c>
      <c r="FZ32" t="e">
        <f>AND(#REF!,"AAAAADfx+bU=")</f>
        <v>#REF!</v>
      </c>
      <c r="GA32" t="e">
        <f>AND(#REF!,"AAAAADfx+bY=")</f>
        <v>#REF!</v>
      </c>
      <c r="GB32" t="e">
        <f>AND(#REF!,"AAAAADfx+bc=")</f>
        <v>#REF!</v>
      </c>
      <c r="GC32" t="e">
        <f>AND(#REF!,"AAAAADfx+bg=")</f>
        <v>#REF!</v>
      </c>
      <c r="GD32" t="e">
        <f>AND(#REF!,"AAAAADfx+bk=")</f>
        <v>#REF!</v>
      </c>
      <c r="GE32" t="e">
        <f>AND(#REF!,"AAAAADfx+bo=")</f>
        <v>#REF!</v>
      </c>
      <c r="GF32" t="e">
        <f>AND(#REF!,"AAAAADfx+bs=")</f>
        <v>#REF!</v>
      </c>
      <c r="GG32" t="e">
        <f>AND(#REF!,"AAAAADfx+bw=")</f>
        <v>#REF!</v>
      </c>
      <c r="GH32" t="e">
        <f>AND(#REF!,"AAAAADfx+b0=")</f>
        <v>#REF!</v>
      </c>
      <c r="GI32" t="e">
        <f>AND(#REF!,"AAAAADfx+b4=")</f>
        <v>#REF!</v>
      </c>
      <c r="GJ32" t="e">
        <f>AND(#REF!,"AAAAADfx+b8=")</f>
        <v>#REF!</v>
      </c>
      <c r="GK32" t="e">
        <f>IF(#REF!,"AAAAADfx+cA=",0)</f>
        <v>#REF!</v>
      </c>
      <c r="GL32" t="e">
        <f>AND(#REF!,"AAAAADfx+cE=")</f>
        <v>#REF!</v>
      </c>
      <c r="GM32" t="e">
        <f>AND(#REF!,"AAAAADfx+cI=")</f>
        <v>#REF!</v>
      </c>
      <c r="GN32" t="e">
        <f>AND(#REF!,"AAAAADfx+cM=")</f>
        <v>#REF!</v>
      </c>
      <c r="GO32" t="e">
        <f>AND(#REF!,"AAAAADfx+cQ=")</f>
        <v>#REF!</v>
      </c>
      <c r="GP32" t="e">
        <f>AND(#REF!,"AAAAADfx+cU=")</f>
        <v>#REF!</v>
      </c>
      <c r="GQ32" t="e">
        <f>AND(#REF!,"AAAAADfx+cY=")</f>
        <v>#REF!</v>
      </c>
      <c r="GR32" t="e">
        <f>AND(#REF!,"AAAAADfx+cc=")</f>
        <v>#REF!</v>
      </c>
      <c r="GS32" t="e">
        <f>AND(#REF!,"AAAAADfx+cg=")</f>
        <v>#REF!</v>
      </c>
      <c r="GT32" t="e">
        <f>AND(#REF!,"AAAAADfx+ck=")</f>
        <v>#REF!</v>
      </c>
      <c r="GU32" t="e">
        <f>AND(#REF!,"AAAAADfx+co=")</f>
        <v>#REF!</v>
      </c>
      <c r="GV32" t="e">
        <f>AND(#REF!,"AAAAADfx+cs=")</f>
        <v>#REF!</v>
      </c>
      <c r="GW32" t="e">
        <f>AND(#REF!,"AAAAADfx+cw=")</f>
        <v>#REF!</v>
      </c>
      <c r="GX32" t="e">
        <f>AND(#REF!,"AAAAADfx+c0=")</f>
        <v>#REF!</v>
      </c>
      <c r="GY32" t="e">
        <f>AND(#REF!,"AAAAADfx+c4=")</f>
        <v>#REF!</v>
      </c>
      <c r="GZ32" t="e">
        <f>AND(#REF!,"AAAAADfx+c8=")</f>
        <v>#REF!</v>
      </c>
      <c r="HA32" t="e">
        <f>AND(#REF!,"AAAAADfx+dA=")</f>
        <v>#REF!</v>
      </c>
      <c r="HB32" t="e">
        <f>AND(#REF!,"AAAAADfx+dE=")</f>
        <v>#REF!</v>
      </c>
      <c r="HC32" t="e">
        <f>AND(#REF!,"AAAAADfx+dI=")</f>
        <v>#REF!</v>
      </c>
      <c r="HD32" t="e">
        <f>IF(#REF!,"AAAAADfx+dM=",0)</f>
        <v>#REF!</v>
      </c>
      <c r="HE32" t="e">
        <f>AND(#REF!,"AAAAADfx+dQ=")</f>
        <v>#REF!</v>
      </c>
      <c r="HF32" t="e">
        <f>AND(#REF!,"AAAAADfx+dU=")</f>
        <v>#REF!</v>
      </c>
      <c r="HG32" t="e">
        <f>AND(#REF!,"AAAAADfx+dY=")</f>
        <v>#REF!</v>
      </c>
      <c r="HH32" t="e">
        <f>AND(#REF!,"AAAAADfx+dc=")</f>
        <v>#REF!</v>
      </c>
      <c r="HI32" t="e">
        <f>AND(#REF!,"AAAAADfx+dg=")</f>
        <v>#REF!</v>
      </c>
      <c r="HJ32" t="e">
        <f>AND(#REF!,"AAAAADfx+dk=")</f>
        <v>#REF!</v>
      </c>
      <c r="HK32" t="e">
        <f>AND(#REF!,"AAAAADfx+do=")</f>
        <v>#REF!</v>
      </c>
      <c r="HL32" t="e">
        <f>AND(#REF!,"AAAAADfx+ds=")</f>
        <v>#REF!</v>
      </c>
      <c r="HM32" t="e">
        <f>AND(#REF!,"AAAAADfx+dw=")</f>
        <v>#REF!</v>
      </c>
      <c r="HN32" t="e">
        <f>AND(#REF!,"AAAAADfx+d0=")</f>
        <v>#REF!</v>
      </c>
      <c r="HO32" t="e">
        <f>AND(#REF!,"AAAAADfx+d4=")</f>
        <v>#REF!</v>
      </c>
      <c r="HP32" t="e">
        <f>AND(#REF!,"AAAAADfx+d8=")</f>
        <v>#REF!</v>
      </c>
      <c r="HQ32" t="e">
        <f>AND(#REF!,"AAAAADfx+eA=")</f>
        <v>#REF!</v>
      </c>
      <c r="HR32" t="e">
        <f>AND(#REF!,"AAAAADfx+eE=")</f>
        <v>#REF!</v>
      </c>
      <c r="HS32" t="e">
        <f>AND(#REF!,"AAAAADfx+eI=")</f>
        <v>#REF!</v>
      </c>
      <c r="HT32" t="e">
        <f>AND(#REF!,"AAAAADfx+eM=")</f>
        <v>#REF!</v>
      </c>
      <c r="HU32" t="e">
        <f>AND(#REF!,"AAAAADfx+eQ=")</f>
        <v>#REF!</v>
      </c>
      <c r="HV32" t="e">
        <f>AND(#REF!,"AAAAADfx+eU=")</f>
        <v>#REF!</v>
      </c>
      <c r="HW32" t="e">
        <f>IF(#REF!,"AAAAADfx+eY=",0)</f>
        <v>#REF!</v>
      </c>
      <c r="HX32" t="e">
        <f>AND(#REF!,"AAAAADfx+ec=")</f>
        <v>#REF!</v>
      </c>
      <c r="HY32" t="e">
        <f>AND(#REF!,"AAAAADfx+eg=")</f>
        <v>#REF!</v>
      </c>
      <c r="HZ32" t="e">
        <f>AND(#REF!,"AAAAADfx+ek=")</f>
        <v>#REF!</v>
      </c>
      <c r="IA32" t="e">
        <f>AND(#REF!,"AAAAADfx+eo=")</f>
        <v>#REF!</v>
      </c>
      <c r="IB32" t="e">
        <f>AND(#REF!,"AAAAADfx+es=")</f>
        <v>#REF!</v>
      </c>
      <c r="IC32" t="e">
        <f>AND(#REF!,"AAAAADfx+ew=")</f>
        <v>#REF!</v>
      </c>
      <c r="ID32" t="e">
        <f>AND(#REF!,"AAAAADfx+e0=")</f>
        <v>#REF!</v>
      </c>
      <c r="IE32" t="e">
        <f>AND(#REF!,"AAAAADfx+e4=")</f>
        <v>#REF!</v>
      </c>
      <c r="IF32" t="e">
        <f>AND(#REF!,"AAAAADfx+e8=")</f>
        <v>#REF!</v>
      </c>
      <c r="IG32" t="e">
        <f>AND(#REF!,"AAAAADfx+fA=")</f>
        <v>#REF!</v>
      </c>
      <c r="IH32" t="e">
        <f>AND(#REF!,"AAAAADfx+fE=")</f>
        <v>#REF!</v>
      </c>
      <c r="II32" t="e">
        <f>AND(#REF!,"AAAAADfx+fI=")</f>
        <v>#REF!</v>
      </c>
      <c r="IJ32" t="e">
        <f>AND(#REF!,"AAAAADfx+fM=")</f>
        <v>#REF!</v>
      </c>
      <c r="IK32" t="e">
        <f>AND(#REF!,"AAAAADfx+fQ=")</f>
        <v>#REF!</v>
      </c>
      <c r="IL32" t="e">
        <f>AND(#REF!,"AAAAADfx+fU=")</f>
        <v>#REF!</v>
      </c>
      <c r="IM32" t="e">
        <f>AND(#REF!,"AAAAADfx+fY=")</f>
        <v>#REF!</v>
      </c>
      <c r="IN32" t="e">
        <f>AND(#REF!,"AAAAADfx+fc=")</f>
        <v>#REF!</v>
      </c>
      <c r="IO32" t="e">
        <f>AND(#REF!,"AAAAADfx+fg=")</f>
        <v>#REF!</v>
      </c>
      <c r="IP32" t="e">
        <f>IF(#REF!,"AAAAADfx+fk=",0)</f>
        <v>#REF!</v>
      </c>
      <c r="IQ32" t="e">
        <f>AND(#REF!,"AAAAADfx+fo=")</f>
        <v>#REF!</v>
      </c>
      <c r="IR32" t="e">
        <f>AND(#REF!,"AAAAADfx+fs=")</f>
        <v>#REF!</v>
      </c>
      <c r="IS32" t="e">
        <f>AND(#REF!,"AAAAADfx+fw=")</f>
        <v>#REF!</v>
      </c>
      <c r="IT32" t="e">
        <f>AND(#REF!,"AAAAADfx+f0=")</f>
        <v>#REF!</v>
      </c>
      <c r="IU32" t="e">
        <f>AND(#REF!,"AAAAADfx+f4=")</f>
        <v>#REF!</v>
      </c>
      <c r="IV32" t="e">
        <f>AND(#REF!,"AAAAADfx+f8=")</f>
        <v>#REF!</v>
      </c>
    </row>
    <row r="33" spans="1:256" x14ac:dyDescent="0.15">
      <c r="A33" t="e">
        <f>AND(#REF!,"AAAAAD7P1gA=")</f>
        <v>#REF!</v>
      </c>
      <c r="B33" t="e">
        <f>AND(#REF!,"AAAAAD7P1gE=")</f>
        <v>#REF!</v>
      </c>
      <c r="C33" t="e">
        <f>AND(#REF!,"AAAAAD7P1gI=")</f>
        <v>#REF!</v>
      </c>
      <c r="D33" t="e">
        <f>AND(#REF!,"AAAAAD7P1gM=")</f>
        <v>#REF!</v>
      </c>
      <c r="E33" t="e">
        <f>AND(#REF!,"AAAAAD7P1gQ=")</f>
        <v>#REF!</v>
      </c>
      <c r="F33" t="e">
        <f>AND(#REF!,"AAAAAD7P1gU=")</f>
        <v>#REF!</v>
      </c>
      <c r="G33" t="e">
        <f>AND(#REF!,"AAAAAD7P1gY=")</f>
        <v>#REF!</v>
      </c>
      <c r="H33" t="e">
        <f>AND(#REF!,"AAAAAD7P1gc=")</f>
        <v>#REF!</v>
      </c>
      <c r="I33" t="e">
        <f>AND(#REF!,"AAAAAD7P1gg=")</f>
        <v>#REF!</v>
      </c>
      <c r="J33" t="e">
        <f>AND(#REF!,"AAAAAD7P1gk=")</f>
        <v>#REF!</v>
      </c>
      <c r="K33" t="e">
        <f>AND(#REF!,"AAAAAD7P1go=")</f>
        <v>#REF!</v>
      </c>
      <c r="L33" t="e">
        <f>AND(#REF!,"AAAAAD7P1gs=")</f>
        <v>#REF!</v>
      </c>
      <c r="M33" t="e">
        <f>IF(#REF!,"AAAAAD7P1gw=",0)</f>
        <v>#REF!</v>
      </c>
      <c r="N33" t="e">
        <f>AND(#REF!,"AAAAAD7P1g0=")</f>
        <v>#REF!</v>
      </c>
      <c r="O33" t="e">
        <f>AND(#REF!,"AAAAAD7P1g4=")</f>
        <v>#REF!</v>
      </c>
      <c r="P33" t="e">
        <f>AND(#REF!,"AAAAAD7P1g8=")</f>
        <v>#REF!</v>
      </c>
      <c r="Q33" t="e">
        <f>AND(#REF!,"AAAAAD7P1hA=")</f>
        <v>#REF!</v>
      </c>
      <c r="R33" t="e">
        <f>AND(#REF!,"AAAAAD7P1hE=")</f>
        <v>#REF!</v>
      </c>
      <c r="S33" t="e">
        <f>AND(#REF!,"AAAAAD7P1hI=")</f>
        <v>#REF!</v>
      </c>
      <c r="T33" t="e">
        <f>AND(#REF!,"AAAAAD7P1hM=")</f>
        <v>#REF!</v>
      </c>
      <c r="U33" t="e">
        <f>AND(#REF!,"AAAAAD7P1hQ=")</f>
        <v>#REF!</v>
      </c>
      <c r="V33" t="e">
        <f>AND(#REF!,"AAAAAD7P1hU=")</f>
        <v>#REF!</v>
      </c>
      <c r="W33" t="e">
        <f>AND(#REF!,"AAAAAD7P1hY=")</f>
        <v>#REF!</v>
      </c>
      <c r="X33" t="e">
        <f>AND(#REF!,"AAAAAD7P1hc=")</f>
        <v>#REF!</v>
      </c>
      <c r="Y33" t="e">
        <f>AND(#REF!,"AAAAAD7P1hg=")</f>
        <v>#REF!</v>
      </c>
      <c r="Z33" t="e">
        <f>AND(#REF!,"AAAAAD7P1hk=")</f>
        <v>#REF!</v>
      </c>
      <c r="AA33" t="e">
        <f>AND(#REF!,"AAAAAD7P1ho=")</f>
        <v>#REF!</v>
      </c>
      <c r="AB33" t="e">
        <f>AND(#REF!,"AAAAAD7P1hs=")</f>
        <v>#REF!</v>
      </c>
      <c r="AC33" t="e">
        <f>AND(#REF!,"AAAAAD7P1hw=")</f>
        <v>#REF!</v>
      </c>
      <c r="AD33" t="e">
        <f>AND(#REF!,"AAAAAD7P1h0=")</f>
        <v>#REF!</v>
      </c>
      <c r="AE33" t="e">
        <f>AND(#REF!,"AAAAAD7P1h4=")</f>
        <v>#REF!</v>
      </c>
      <c r="AF33" t="e">
        <f>IF(#REF!,"AAAAAD7P1h8=",0)</f>
        <v>#REF!</v>
      </c>
      <c r="AG33" t="e">
        <f>AND(#REF!,"AAAAAD7P1iA=")</f>
        <v>#REF!</v>
      </c>
      <c r="AH33" t="e">
        <f>AND(#REF!,"AAAAAD7P1iE=")</f>
        <v>#REF!</v>
      </c>
      <c r="AI33" t="e">
        <f>AND(#REF!,"AAAAAD7P1iI=")</f>
        <v>#REF!</v>
      </c>
      <c r="AJ33" t="e">
        <f>AND(#REF!,"AAAAAD7P1iM=")</f>
        <v>#REF!</v>
      </c>
      <c r="AK33" t="e">
        <f>AND(#REF!,"AAAAAD7P1iQ=")</f>
        <v>#REF!</v>
      </c>
      <c r="AL33" t="e">
        <f>AND(#REF!,"AAAAAD7P1iU=")</f>
        <v>#REF!</v>
      </c>
      <c r="AM33" t="e">
        <f>AND(#REF!,"AAAAAD7P1iY=")</f>
        <v>#REF!</v>
      </c>
      <c r="AN33" t="e">
        <f>AND(#REF!,"AAAAAD7P1ic=")</f>
        <v>#REF!</v>
      </c>
      <c r="AO33" t="e">
        <f>AND(#REF!,"AAAAAD7P1ig=")</f>
        <v>#REF!</v>
      </c>
      <c r="AP33" t="e">
        <f>AND(#REF!,"AAAAAD7P1ik=")</f>
        <v>#REF!</v>
      </c>
      <c r="AQ33" t="e">
        <f>AND(#REF!,"AAAAAD7P1io=")</f>
        <v>#REF!</v>
      </c>
      <c r="AR33" t="e">
        <f>AND(#REF!,"AAAAAD7P1is=")</f>
        <v>#REF!</v>
      </c>
      <c r="AS33" t="e">
        <f>AND(#REF!,"AAAAAD7P1iw=")</f>
        <v>#REF!</v>
      </c>
      <c r="AT33" t="e">
        <f>AND(#REF!,"AAAAAD7P1i0=")</f>
        <v>#REF!</v>
      </c>
      <c r="AU33" t="e">
        <f>AND(#REF!,"AAAAAD7P1i4=")</f>
        <v>#REF!</v>
      </c>
      <c r="AV33" t="e">
        <f>AND(#REF!,"AAAAAD7P1i8=")</f>
        <v>#REF!</v>
      </c>
      <c r="AW33" t="e">
        <f>AND(#REF!,"AAAAAD7P1jA=")</f>
        <v>#REF!</v>
      </c>
      <c r="AX33" t="e">
        <f>AND(#REF!,"AAAAAD7P1jE=")</f>
        <v>#REF!</v>
      </c>
      <c r="AY33" t="e">
        <f>IF(#REF!,"AAAAAD7P1jI=",0)</f>
        <v>#REF!</v>
      </c>
      <c r="AZ33" t="e">
        <f>AND(#REF!,"AAAAAD7P1jM=")</f>
        <v>#REF!</v>
      </c>
      <c r="BA33" t="e">
        <f>AND(#REF!,"AAAAAD7P1jQ=")</f>
        <v>#REF!</v>
      </c>
      <c r="BB33" t="e">
        <f>AND(#REF!,"AAAAAD7P1jU=")</f>
        <v>#REF!</v>
      </c>
      <c r="BC33" t="e">
        <f>AND(#REF!,"AAAAAD7P1jY=")</f>
        <v>#REF!</v>
      </c>
      <c r="BD33" t="e">
        <f>AND(#REF!,"AAAAAD7P1jc=")</f>
        <v>#REF!</v>
      </c>
      <c r="BE33" t="e">
        <f>AND(#REF!,"AAAAAD7P1jg=")</f>
        <v>#REF!</v>
      </c>
      <c r="BF33" t="e">
        <f>AND(#REF!,"AAAAAD7P1jk=")</f>
        <v>#REF!</v>
      </c>
      <c r="BG33" t="e">
        <f>AND(#REF!,"AAAAAD7P1jo=")</f>
        <v>#REF!</v>
      </c>
      <c r="BH33" t="e">
        <f>AND(#REF!,"AAAAAD7P1js=")</f>
        <v>#REF!</v>
      </c>
      <c r="BI33" t="e">
        <f>AND(#REF!,"AAAAAD7P1jw=")</f>
        <v>#REF!</v>
      </c>
      <c r="BJ33" t="e">
        <f>AND(#REF!,"AAAAAD7P1j0=")</f>
        <v>#REF!</v>
      </c>
      <c r="BK33" t="e">
        <f>AND(#REF!,"AAAAAD7P1j4=")</f>
        <v>#REF!</v>
      </c>
      <c r="BL33" t="e">
        <f>AND(#REF!,"AAAAAD7P1j8=")</f>
        <v>#REF!</v>
      </c>
      <c r="BM33" t="e">
        <f>AND(#REF!,"AAAAAD7P1kA=")</f>
        <v>#REF!</v>
      </c>
      <c r="BN33" t="e">
        <f>AND(#REF!,"AAAAAD7P1kE=")</f>
        <v>#REF!</v>
      </c>
      <c r="BO33" t="e">
        <f>AND(#REF!,"AAAAAD7P1kI=")</f>
        <v>#REF!</v>
      </c>
      <c r="BP33" t="e">
        <f>AND(#REF!,"AAAAAD7P1kM=")</f>
        <v>#REF!</v>
      </c>
      <c r="BQ33" t="e">
        <f>AND(#REF!,"AAAAAD7P1kQ=")</f>
        <v>#REF!</v>
      </c>
      <c r="BR33" t="e">
        <f>IF(#REF!,"AAAAAD7P1kU=",0)</f>
        <v>#REF!</v>
      </c>
      <c r="BS33" t="e">
        <f>AND(#REF!,"AAAAAD7P1kY=")</f>
        <v>#REF!</v>
      </c>
      <c r="BT33" t="e">
        <f>AND(#REF!,"AAAAAD7P1kc=")</f>
        <v>#REF!</v>
      </c>
      <c r="BU33" t="e">
        <f>AND(#REF!,"AAAAAD7P1kg=")</f>
        <v>#REF!</v>
      </c>
      <c r="BV33" t="e">
        <f>AND(#REF!,"AAAAAD7P1kk=")</f>
        <v>#REF!</v>
      </c>
      <c r="BW33" t="e">
        <f>AND(#REF!,"AAAAAD7P1ko=")</f>
        <v>#REF!</v>
      </c>
      <c r="BX33" t="e">
        <f>AND(#REF!,"AAAAAD7P1ks=")</f>
        <v>#REF!</v>
      </c>
      <c r="BY33" t="e">
        <f>AND(#REF!,"AAAAAD7P1kw=")</f>
        <v>#REF!</v>
      </c>
      <c r="BZ33" t="e">
        <f>AND(#REF!,"AAAAAD7P1k0=")</f>
        <v>#REF!</v>
      </c>
      <c r="CA33" t="e">
        <f>AND(#REF!,"AAAAAD7P1k4=")</f>
        <v>#REF!</v>
      </c>
      <c r="CB33" t="e">
        <f>AND(#REF!,"AAAAAD7P1k8=")</f>
        <v>#REF!</v>
      </c>
      <c r="CC33" t="e">
        <f>AND(#REF!,"AAAAAD7P1lA=")</f>
        <v>#REF!</v>
      </c>
      <c r="CD33" t="e">
        <f>AND(#REF!,"AAAAAD7P1lE=")</f>
        <v>#REF!</v>
      </c>
      <c r="CE33" t="e">
        <f>AND(#REF!,"AAAAAD7P1lI=")</f>
        <v>#REF!</v>
      </c>
      <c r="CF33" t="e">
        <f>AND(#REF!,"AAAAAD7P1lM=")</f>
        <v>#REF!</v>
      </c>
      <c r="CG33" t="e">
        <f>AND(#REF!,"AAAAAD7P1lQ=")</f>
        <v>#REF!</v>
      </c>
      <c r="CH33" t="e">
        <f>AND(#REF!,"AAAAAD7P1lU=")</f>
        <v>#REF!</v>
      </c>
      <c r="CI33" t="e">
        <f>AND(#REF!,"AAAAAD7P1lY=")</f>
        <v>#REF!</v>
      </c>
      <c r="CJ33" t="e">
        <f>AND(#REF!,"AAAAAD7P1lc=")</f>
        <v>#REF!</v>
      </c>
      <c r="CK33" t="e">
        <f>IF(#REF!,"AAAAAD7P1lg=",0)</f>
        <v>#REF!</v>
      </c>
      <c r="CL33" t="e">
        <f>AND(#REF!,"AAAAAD7P1lk=")</f>
        <v>#REF!</v>
      </c>
      <c r="CM33" t="e">
        <f>AND(#REF!,"AAAAAD7P1lo=")</f>
        <v>#REF!</v>
      </c>
      <c r="CN33" t="e">
        <f>AND(#REF!,"AAAAAD7P1ls=")</f>
        <v>#REF!</v>
      </c>
      <c r="CO33" t="e">
        <f>AND(#REF!,"AAAAAD7P1lw=")</f>
        <v>#REF!</v>
      </c>
      <c r="CP33" t="e">
        <f>AND(#REF!,"AAAAAD7P1l0=")</f>
        <v>#REF!</v>
      </c>
      <c r="CQ33" t="e">
        <f>AND(#REF!,"AAAAAD7P1l4=")</f>
        <v>#REF!</v>
      </c>
      <c r="CR33" t="e">
        <f>AND(#REF!,"AAAAAD7P1l8=")</f>
        <v>#REF!</v>
      </c>
      <c r="CS33" t="e">
        <f>AND(#REF!,"AAAAAD7P1mA=")</f>
        <v>#REF!</v>
      </c>
      <c r="CT33" t="e">
        <f>AND(#REF!,"AAAAAD7P1mE=")</f>
        <v>#REF!</v>
      </c>
      <c r="CU33" t="e">
        <f>AND(#REF!,"AAAAAD7P1mI=")</f>
        <v>#REF!</v>
      </c>
      <c r="CV33" t="e">
        <f>AND(#REF!,"AAAAAD7P1mM=")</f>
        <v>#REF!</v>
      </c>
      <c r="CW33" t="e">
        <f>AND(#REF!,"AAAAAD7P1mQ=")</f>
        <v>#REF!</v>
      </c>
      <c r="CX33" t="e">
        <f>AND(#REF!,"AAAAAD7P1mU=")</f>
        <v>#REF!</v>
      </c>
      <c r="CY33" t="e">
        <f>AND(#REF!,"AAAAAD7P1mY=")</f>
        <v>#REF!</v>
      </c>
      <c r="CZ33" t="e">
        <f>AND(#REF!,"AAAAAD7P1mc=")</f>
        <v>#REF!</v>
      </c>
      <c r="DA33" t="e">
        <f>AND(#REF!,"AAAAAD7P1mg=")</f>
        <v>#REF!</v>
      </c>
      <c r="DB33" t="e">
        <f>AND(#REF!,"AAAAAD7P1mk=")</f>
        <v>#REF!</v>
      </c>
      <c r="DC33" t="e">
        <f>AND(#REF!,"AAAAAD7P1mo=")</f>
        <v>#REF!</v>
      </c>
      <c r="DD33" t="e">
        <f>IF(#REF!,"AAAAAD7P1ms=",0)</f>
        <v>#REF!</v>
      </c>
      <c r="DE33" t="e">
        <f>AND(#REF!,"AAAAAD7P1mw=")</f>
        <v>#REF!</v>
      </c>
      <c r="DF33" t="e">
        <f>AND(#REF!,"AAAAAD7P1m0=")</f>
        <v>#REF!</v>
      </c>
      <c r="DG33" t="e">
        <f>AND(#REF!,"AAAAAD7P1m4=")</f>
        <v>#REF!</v>
      </c>
      <c r="DH33" t="e">
        <f>AND(#REF!,"AAAAAD7P1m8=")</f>
        <v>#REF!</v>
      </c>
      <c r="DI33" t="e">
        <f>AND(#REF!,"AAAAAD7P1nA=")</f>
        <v>#REF!</v>
      </c>
      <c r="DJ33" t="e">
        <f>AND(#REF!,"AAAAAD7P1nE=")</f>
        <v>#REF!</v>
      </c>
      <c r="DK33" t="e">
        <f>AND(#REF!,"AAAAAD7P1nI=")</f>
        <v>#REF!</v>
      </c>
      <c r="DL33" t="e">
        <f>AND(#REF!,"AAAAAD7P1nM=")</f>
        <v>#REF!</v>
      </c>
      <c r="DM33" t="e">
        <f>AND(#REF!,"AAAAAD7P1nQ=")</f>
        <v>#REF!</v>
      </c>
      <c r="DN33" t="e">
        <f>AND(#REF!,"AAAAAD7P1nU=")</f>
        <v>#REF!</v>
      </c>
      <c r="DO33" t="e">
        <f>AND(#REF!,"AAAAAD7P1nY=")</f>
        <v>#REF!</v>
      </c>
      <c r="DP33" t="e">
        <f>AND(#REF!,"AAAAAD7P1nc=")</f>
        <v>#REF!</v>
      </c>
      <c r="DQ33" t="e">
        <f>AND(#REF!,"AAAAAD7P1ng=")</f>
        <v>#REF!</v>
      </c>
      <c r="DR33" t="e">
        <f>AND(#REF!,"AAAAAD7P1nk=")</f>
        <v>#REF!</v>
      </c>
      <c r="DS33" t="e">
        <f>AND(#REF!,"AAAAAD7P1no=")</f>
        <v>#REF!</v>
      </c>
      <c r="DT33" t="e">
        <f>AND(#REF!,"AAAAAD7P1ns=")</f>
        <v>#REF!</v>
      </c>
      <c r="DU33" t="e">
        <f>AND(#REF!,"AAAAAD7P1nw=")</f>
        <v>#REF!</v>
      </c>
      <c r="DV33" t="e">
        <f>AND(#REF!,"AAAAAD7P1n0=")</f>
        <v>#REF!</v>
      </c>
      <c r="DW33" t="e">
        <f>IF(#REF!,"AAAAAD7P1n4=",0)</f>
        <v>#REF!</v>
      </c>
      <c r="DX33" t="e">
        <f>AND(#REF!,"AAAAAD7P1n8=")</f>
        <v>#REF!</v>
      </c>
      <c r="DY33" t="e">
        <f>AND(#REF!,"AAAAAD7P1oA=")</f>
        <v>#REF!</v>
      </c>
      <c r="DZ33" t="e">
        <f>AND(#REF!,"AAAAAD7P1oE=")</f>
        <v>#REF!</v>
      </c>
      <c r="EA33" t="e">
        <f>AND(#REF!,"AAAAAD7P1oI=")</f>
        <v>#REF!</v>
      </c>
      <c r="EB33" t="e">
        <f>AND(#REF!,"AAAAAD7P1oM=")</f>
        <v>#REF!</v>
      </c>
      <c r="EC33" t="e">
        <f>AND(#REF!,"AAAAAD7P1oQ=")</f>
        <v>#REF!</v>
      </c>
      <c r="ED33" t="e">
        <f>AND(#REF!,"AAAAAD7P1oU=")</f>
        <v>#REF!</v>
      </c>
      <c r="EE33" t="e">
        <f>AND(#REF!,"AAAAAD7P1oY=")</f>
        <v>#REF!</v>
      </c>
      <c r="EF33" t="e">
        <f>AND(#REF!,"AAAAAD7P1oc=")</f>
        <v>#REF!</v>
      </c>
      <c r="EG33" t="e">
        <f>AND(#REF!,"AAAAAD7P1og=")</f>
        <v>#REF!</v>
      </c>
      <c r="EH33" t="e">
        <f>AND(#REF!,"AAAAAD7P1ok=")</f>
        <v>#REF!</v>
      </c>
      <c r="EI33" t="e">
        <f>AND(#REF!,"AAAAAD7P1oo=")</f>
        <v>#REF!</v>
      </c>
      <c r="EJ33" t="e">
        <f>AND(#REF!,"AAAAAD7P1os=")</f>
        <v>#REF!</v>
      </c>
      <c r="EK33" t="e">
        <f>AND(#REF!,"AAAAAD7P1ow=")</f>
        <v>#REF!</v>
      </c>
      <c r="EL33" t="e">
        <f>AND(#REF!,"AAAAAD7P1o0=")</f>
        <v>#REF!</v>
      </c>
      <c r="EM33" t="e">
        <f>AND(#REF!,"AAAAAD7P1o4=")</f>
        <v>#REF!</v>
      </c>
      <c r="EN33" t="e">
        <f>AND(#REF!,"AAAAAD7P1o8=")</f>
        <v>#REF!</v>
      </c>
      <c r="EO33" t="e">
        <f>AND(#REF!,"AAAAAD7P1pA=")</f>
        <v>#REF!</v>
      </c>
      <c r="EP33" t="e">
        <f>IF(#REF!,"AAAAAD7P1pE=",0)</f>
        <v>#REF!</v>
      </c>
      <c r="EQ33" t="e">
        <f>AND(#REF!,"AAAAAD7P1pI=")</f>
        <v>#REF!</v>
      </c>
      <c r="ER33" t="e">
        <f>AND(#REF!,"AAAAAD7P1pM=")</f>
        <v>#REF!</v>
      </c>
      <c r="ES33" t="e">
        <f>AND(#REF!,"AAAAAD7P1pQ=")</f>
        <v>#REF!</v>
      </c>
      <c r="ET33" t="e">
        <f>AND(#REF!,"AAAAAD7P1pU=")</f>
        <v>#REF!</v>
      </c>
      <c r="EU33" t="e">
        <f>AND(#REF!,"AAAAAD7P1pY=")</f>
        <v>#REF!</v>
      </c>
      <c r="EV33" t="e">
        <f>AND(#REF!,"AAAAAD7P1pc=")</f>
        <v>#REF!</v>
      </c>
      <c r="EW33" t="e">
        <f>AND(#REF!,"AAAAAD7P1pg=")</f>
        <v>#REF!</v>
      </c>
      <c r="EX33" t="e">
        <f>AND(#REF!,"AAAAAD7P1pk=")</f>
        <v>#REF!</v>
      </c>
      <c r="EY33" t="e">
        <f>AND(#REF!,"AAAAAD7P1po=")</f>
        <v>#REF!</v>
      </c>
      <c r="EZ33" t="e">
        <f>AND(#REF!,"AAAAAD7P1ps=")</f>
        <v>#REF!</v>
      </c>
      <c r="FA33" t="e">
        <f>AND(#REF!,"AAAAAD7P1pw=")</f>
        <v>#REF!</v>
      </c>
      <c r="FB33" t="e">
        <f>AND(#REF!,"AAAAAD7P1p0=")</f>
        <v>#REF!</v>
      </c>
      <c r="FC33" t="e">
        <f>AND(#REF!,"AAAAAD7P1p4=")</f>
        <v>#REF!</v>
      </c>
      <c r="FD33" t="e">
        <f>AND(#REF!,"AAAAAD7P1p8=")</f>
        <v>#REF!</v>
      </c>
      <c r="FE33" t="e">
        <f>AND(#REF!,"AAAAAD7P1qA=")</f>
        <v>#REF!</v>
      </c>
      <c r="FF33" t="e">
        <f>AND(#REF!,"AAAAAD7P1qE=")</f>
        <v>#REF!</v>
      </c>
      <c r="FG33" t="e">
        <f>AND(#REF!,"AAAAAD7P1qI=")</f>
        <v>#REF!</v>
      </c>
      <c r="FH33" t="e">
        <f>AND(#REF!,"AAAAAD7P1qM=")</f>
        <v>#REF!</v>
      </c>
      <c r="FI33" t="e">
        <f>IF(#REF!,"AAAAAD7P1qQ=",0)</f>
        <v>#REF!</v>
      </c>
      <c r="FJ33" t="e">
        <f>AND(#REF!,"AAAAAD7P1qU=")</f>
        <v>#REF!</v>
      </c>
      <c r="FK33" t="e">
        <f>AND(#REF!,"AAAAAD7P1qY=")</f>
        <v>#REF!</v>
      </c>
      <c r="FL33" t="e">
        <f>AND(#REF!,"AAAAAD7P1qc=")</f>
        <v>#REF!</v>
      </c>
      <c r="FM33" t="e">
        <f>AND(#REF!,"AAAAAD7P1qg=")</f>
        <v>#REF!</v>
      </c>
      <c r="FN33" t="e">
        <f>AND(#REF!,"AAAAAD7P1qk=")</f>
        <v>#REF!</v>
      </c>
      <c r="FO33" t="e">
        <f>AND(#REF!,"AAAAAD7P1qo=")</f>
        <v>#REF!</v>
      </c>
      <c r="FP33" t="e">
        <f>AND(#REF!,"AAAAAD7P1qs=")</f>
        <v>#REF!</v>
      </c>
      <c r="FQ33" t="e">
        <f>AND(#REF!,"AAAAAD7P1qw=")</f>
        <v>#REF!</v>
      </c>
      <c r="FR33" t="e">
        <f>AND(#REF!,"AAAAAD7P1q0=")</f>
        <v>#REF!</v>
      </c>
      <c r="FS33" t="e">
        <f>AND(#REF!,"AAAAAD7P1q4=")</f>
        <v>#REF!</v>
      </c>
      <c r="FT33" t="e">
        <f>AND(#REF!,"AAAAAD7P1q8=")</f>
        <v>#REF!</v>
      </c>
      <c r="FU33" t="e">
        <f>AND(#REF!,"AAAAAD7P1rA=")</f>
        <v>#REF!</v>
      </c>
      <c r="FV33" t="e">
        <f>AND(#REF!,"AAAAAD7P1rE=")</f>
        <v>#REF!</v>
      </c>
      <c r="FW33" t="e">
        <f>AND(#REF!,"AAAAAD7P1rI=")</f>
        <v>#REF!</v>
      </c>
      <c r="FX33" t="e">
        <f>AND(#REF!,"AAAAAD7P1rM=")</f>
        <v>#REF!</v>
      </c>
      <c r="FY33" t="e">
        <f>AND(#REF!,"AAAAAD7P1rQ=")</f>
        <v>#REF!</v>
      </c>
      <c r="FZ33" t="e">
        <f>AND(#REF!,"AAAAAD7P1rU=")</f>
        <v>#REF!</v>
      </c>
      <c r="GA33" t="e">
        <f>AND(#REF!,"AAAAAD7P1rY=")</f>
        <v>#REF!</v>
      </c>
      <c r="GB33" t="e">
        <f>IF(#REF!,"AAAAAD7P1rc=",0)</f>
        <v>#REF!</v>
      </c>
      <c r="GC33" t="e">
        <f>AND(#REF!,"AAAAAD7P1rg=")</f>
        <v>#REF!</v>
      </c>
      <c r="GD33" t="e">
        <f>AND(#REF!,"AAAAAD7P1rk=")</f>
        <v>#REF!</v>
      </c>
      <c r="GE33" t="e">
        <f>AND(#REF!,"AAAAAD7P1ro=")</f>
        <v>#REF!</v>
      </c>
      <c r="GF33" t="e">
        <f>AND(#REF!,"AAAAAD7P1rs=")</f>
        <v>#REF!</v>
      </c>
      <c r="GG33" t="e">
        <f>AND(#REF!,"AAAAAD7P1rw=")</f>
        <v>#REF!</v>
      </c>
      <c r="GH33" t="e">
        <f>AND(#REF!,"AAAAAD7P1r0=")</f>
        <v>#REF!</v>
      </c>
      <c r="GI33" t="e">
        <f>AND(#REF!,"AAAAAD7P1r4=")</f>
        <v>#REF!</v>
      </c>
      <c r="GJ33" t="e">
        <f>AND(#REF!,"AAAAAD7P1r8=")</f>
        <v>#REF!</v>
      </c>
      <c r="GK33" t="e">
        <f>AND(#REF!,"AAAAAD7P1sA=")</f>
        <v>#REF!</v>
      </c>
      <c r="GL33" t="e">
        <f>AND(#REF!,"AAAAAD7P1sE=")</f>
        <v>#REF!</v>
      </c>
      <c r="GM33" t="e">
        <f>AND(#REF!,"AAAAAD7P1sI=")</f>
        <v>#REF!</v>
      </c>
      <c r="GN33" t="e">
        <f>AND(#REF!,"AAAAAD7P1sM=")</f>
        <v>#REF!</v>
      </c>
      <c r="GO33" t="e">
        <f>AND(#REF!,"AAAAAD7P1sQ=")</f>
        <v>#REF!</v>
      </c>
      <c r="GP33" t="e">
        <f>AND(#REF!,"AAAAAD7P1sU=")</f>
        <v>#REF!</v>
      </c>
      <c r="GQ33" t="e">
        <f>AND(#REF!,"AAAAAD7P1sY=")</f>
        <v>#REF!</v>
      </c>
      <c r="GR33" t="e">
        <f>AND(#REF!,"AAAAAD7P1sc=")</f>
        <v>#REF!</v>
      </c>
      <c r="GS33" t="e">
        <f>AND(#REF!,"AAAAAD7P1sg=")</f>
        <v>#REF!</v>
      </c>
      <c r="GT33" t="e">
        <f>AND(#REF!,"AAAAAD7P1sk=")</f>
        <v>#REF!</v>
      </c>
      <c r="GU33" t="e">
        <f>IF(#REF!,"AAAAAD7P1so=",0)</f>
        <v>#REF!</v>
      </c>
      <c r="GV33" t="e">
        <f>AND(#REF!,"AAAAAD7P1ss=")</f>
        <v>#REF!</v>
      </c>
      <c r="GW33" t="e">
        <f>AND(#REF!,"AAAAAD7P1sw=")</f>
        <v>#REF!</v>
      </c>
      <c r="GX33" t="e">
        <f>AND(#REF!,"AAAAAD7P1s0=")</f>
        <v>#REF!</v>
      </c>
      <c r="GY33" t="e">
        <f>AND(#REF!,"AAAAAD7P1s4=")</f>
        <v>#REF!</v>
      </c>
      <c r="GZ33" t="e">
        <f>AND(#REF!,"AAAAAD7P1s8=")</f>
        <v>#REF!</v>
      </c>
      <c r="HA33" t="e">
        <f>AND(#REF!,"AAAAAD7P1tA=")</f>
        <v>#REF!</v>
      </c>
      <c r="HB33" t="e">
        <f>AND(#REF!,"AAAAAD7P1tE=")</f>
        <v>#REF!</v>
      </c>
      <c r="HC33" t="e">
        <f>AND(#REF!,"AAAAAD7P1tI=")</f>
        <v>#REF!</v>
      </c>
      <c r="HD33" t="e">
        <f>AND(#REF!,"AAAAAD7P1tM=")</f>
        <v>#REF!</v>
      </c>
      <c r="HE33" t="e">
        <f>AND(#REF!,"AAAAAD7P1tQ=")</f>
        <v>#REF!</v>
      </c>
      <c r="HF33" t="e">
        <f>AND(#REF!,"AAAAAD7P1tU=")</f>
        <v>#REF!</v>
      </c>
      <c r="HG33" t="e">
        <f>AND(#REF!,"AAAAAD7P1tY=")</f>
        <v>#REF!</v>
      </c>
      <c r="HH33" t="e">
        <f>AND(#REF!,"AAAAAD7P1tc=")</f>
        <v>#REF!</v>
      </c>
      <c r="HI33" t="e">
        <f>AND(#REF!,"AAAAAD7P1tg=")</f>
        <v>#REF!</v>
      </c>
      <c r="HJ33" t="e">
        <f>AND(#REF!,"AAAAAD7P1tk=")</f>
        <v>#REF!</v>
      </c>
      <c r="HK33" t="e">
        <f>AND(#REF!,"AAAAAD7P1to=")</f>
        <v>#REF!</v>
      </c>
      <c r="HL33" t="e">
        <f>AND(#REF!,"AAAAAD7P1ts=")</f>
        <v>#REF!</v>
      </c>
      <c r="HM33" t="e">
        <f>AND(#REF!,"AAAAAD7P1tw=")</f>
        <v>#REF!</v>
      </c>
      <c r="HN33" t="e">
        <f>IF(#REF!,"AAAAAD7P1t0=",0)</f>
        <v>#REF!</v>
      </c>
      <c r="HO33" t="e">
        <f>AND(#REF!,"AAAAAD7P1t4=")</f>
        <v>#REF!</v>
      </c>
      <c r="HP33" t="e">
        <f>AND(#REF!,"AAAAAD7P1t8=")</f>
        <v>#REF!</v>
      </c>
      <c r="HQ33" t="e">
        <f>AND(#REF!,"AAAAAD7P1uA=")</f>
        <v>#REF!</v>
      </c>
      <c r="HR33" t="e">
        <f>AND(#REF!,"AAAAAD7P1uE=")</f>
        <v>#REF!</v>
      </c>
      <c r="HS33" t="e">
        <f>AND(#REF!,"AAAAAD7P1uI=")</f>
        <v>#REF!</v>
      </c>
      <c r="HT33" t="e">
        <f>AND(#REF!,"AAAAAD7P1uM=")</f>
        <v>#REF!</v>
      </c>
      <c r="HU33" t="e">
        <f>AND(#REF!,"AAAAAD7P1uQ=")</f>
        <v>#REF!</v>
      </c>
      <c r="HV33" t="e">
        <f>AND(#REF!,"AAAAAD7P1uU=")</f>
        <v>#REF!</v>
      </c>
      <c r="HW33" t="e">
        <f>AND(#REF!,"AAAAAD7P1uY=")</f>
        <v>#REF!</v>
      </c>
      <c r="HX33" t="e">
        <f>AND(#REF!,"AAAAAD7P1uc=")</f>
        <v>#REF!</v>
      </c>
      <c r="HY33" t="e">
        <f>AND(#REF!,"AAAAAD7P1ug=")</f>
        <v>#REF!</v>
      </c>
      <c r="HZ33" t="e">
        <f>AND(#REF!,"AAAAAD7P1uk=")</f>
        <v>#REF!</v>
      </c>
      <c r="IA33" t="e">
        <f>AND(#REF!,"AAAAAD7P1uo=")</f>
        <v>#REF!</v>
      </c>
      <c r="IB33" t="e">
        <f>AND(#REF!,"AAAAAD7P1us=")</f>
        <v>#REF!</v>
      </c>
      <c r="IC33" t="e">
        <f>AND(#REF!,"AAAAAD7P1uw=")</f>
        <v>#REF!</v>
      </c>
      <c r="ID33" t="e">
        <f>AND(#REF!,"AAAAAD7P1u0=")</f>
        <v>#REF!</v>
      </c>
      <c r="IE33" t="e">
        <f>AND(#REF!,"AAAAAD7P1u4=")</f>
        <v>#REF!</v>
      </c>
      <c r="IF33" t="e">
        <f>AND(#REF!,"AAAAAD7P1u8=")</f>
        <v>#REF!</v>
      </c>
      <c r="IG33" t="e">
        <f>IF(#REF!,"AAAAAD7P1vA=",0)</f>
        <v>#REF!</v>
      </c>
      <c r="IH33" t="e">
        <f>AND(#REF!,"AAAAAD7P1vE=")</f>
        <v>#REF!</v>
      </c>
      <c r="II33" t="e">
        <f>AND(#REF!,"AAAAAD7P1vI=")</f>
        <v>#REF!</v>
      </c>
      <c r="IJ33" t="e">
        <f>AND(#REF!,"AAAAAD7P1vM=")</f>
        <v>#REF!</v>
      </c>
      <c r="IK33" t="e">
        <f>AND(#REF!,"AAAAAD7P1vQ=")</f>
        <v>#REF!</v>
      </c>
      <c r="IL33" t="e">
        <f>AND(#REF!,"AAAAAD7P1vU=")</f>
        <v>#REF!</v>
      </c>
      <c r="IM33" t="e">
        <f>AND(#REF!,"AAAAAD7P1vY=")</f>
        <v>#REF!</v>
      </c>
      <c r="IN33" t="e">
        <f>AND(#REF!,"AAAAAD7P1vc=")</f>
        <v>#REF!</v>
      </c>
      <c r="IO33" t="e">
        <f>AND(#REF!,"AAAAAD7P1vg=")</f>
        <v>#REF!</v>
      </c>
      <c r="IP33" t="e">
        <f>AND(#REF!,"AAAAAD7P1vk=")</f>
        <v>#REF!</v>
      </c>
      <c r="IQ33" t="e">
        <f>AND(#REF!,"AAAAAD7P1vo=")</f>
        <v>#REF!</v>
      </c>
      <c r="IR33" t="e">
        <f>AND(#REF!,"AAAAAD7P1vs=")</f>
        <v>#REF!</v>
      </c>
      <c r="IS33" t="e">
        <f>AND(#REF!,"AAAAAD7P1vw=")</f>
        <v>#REF!</v>
      </c>
      <c r="IT33" t="e">
        <f>AND(#REF!,"AAAAAD7P1v0=")</f>
        <v>#REF!</v>
      </c>
      <c r="IU33" t="e">
        <f>AND(#REF!,"AAAAAD7P1v4=")</f>
        <v>#REF!</v>
      </c>
      <c r="IV33" t="e">
        <f>AND(#REF!,"AAAAAD7P1v8=")</f>
        <v>#REF!</v>
      </c>
    </row>
    <row r="34" spans="1:256" x14ac:dyDescent="0.15">
      <c r="A34" t="e">
        <f>AND(#REF!,"AAAAACP+dgA=")</f>
        <v>#REF!</v>
      </c>
      <c r="B34" t="e">
        <f>AND(#REF!,"AAAAACP+dgE=")</f>
        <v>#REF!</v>
      </c>
      <c r="C34" t="e">
        <f>AND(#REF!,"AAAAACP+dgI=")</f>
        <v>#REF!</v>
      </c>
      <c r="D34" t="e">
        <f>IF(#REF!,"AAAAACP+dgM=",0)</f>
        <v>#REF!</v>
      </c>
      <c r="E34" t="e">
        <f>AND(#REF!,"AAAAACP+dgQ=")</f>
        <v>#REF!</v>
      </c>
      <c r="F34" t="e">
        <f>AND(#REF!,"AAAAACP+dgU=")</f>
        <v>#REF!</v>
      </c>
      <c r="G34" t="e">
        <f>AND(#REF!,"AAAAACP+dgY=")</f>
        <v>#REF!</v>
      </c>
      <c r="H34" t="e">
        <f>AND(#REF!,"AAAAACP+dgc=")</f>
        <v>#REF!</v>
      </c>
      <c r="I34" t="e">
        <f>AND(#REF!,"AAAAACP+dgg=")</f>
        <v>#REF!</v>
      </c>
      <c r="J34" t="e">
        <f>AND(#REF!,"AAAAACP+dgk=")</f>
        <v>#REF!</v>
      </c>
      <c r="K34" t="e">
        <f>AND(#REF!,"AAAAACP+dgo=")</f>
        <v>#REF!</v>
      </c>
      <c r="L34" t="e">
        <f>AND(#REF!,"AAAAACP+dgs=")</f>
        <v>#REF!</v>
      </c>
      <c r="M34" t="e">
        <f>AND(#REF!,"AAAAACP+dgw=")</f>
        <v>#REF!</v>
      </c>
      <c r="N34" t="e">
        <f>AND(#REF!,"AAAAACP+dg0=")</f>
        <v>#REF!</v>
      </c>
      <c r="O34" t="e">
        <f>AND(#REF!,"AAAAACP+dg4=")</f>
        <v>#REF!</v>
      </c>
      <c r="P34" t="e">
        <f>AND(#REF!,"AAAAACP+dg8=")</f>
        <v>#REF!</v>
      </c>
      <c r="Q34" t="e">
        <f>AND(#REF!,"AAAAACP+dhA=")</f>
        <v>#REF!</v>
      </c>
      <c r="R34" t="e">
        <f>AND(#REF!,"AAAAACP+dhE=")</f>
        <v>#REF!</v>
      </c>
      <c r="S34" t="e">
        <f>AND(#REF!,"AAAAACP+dhI=")</f>
        <v>#REF!</v>
      </c>
      <c r="T34" t="e">
        <f>AND(#REF!,"AAAAACP+dhM=")</f>
        <v>#REF!</v>
      </c>
      <c r="U34" t="e">
        <f>AND(#REF!,"AAAAACP+dhQ=")</f>
        <v>#REF!</v>
      </c>
      <c r="V34" t="e">
        <f>AND(#REF!,"AAAAACP+dhU=")</f>
        <v>#REF!</v>
      </c>
      <c r="W34" t="e">
        <f>IF(#REF!,"AAAAACP+dhY=",0)</f>
        <v>#REF!</v>
      </c>
      <c r="X34" t="e">
        <f>AND(#REF!,"AAAAACP+dhc=")</f>
        <v>#REF!</v>
      </c>
      <c r="Y34" t="e">
        <f>AND(#REF!,"AAAAACP+dhg=")</f>
        <v>#REF!</v>
      </c>
      <c r="Z34" t="e">
        <f>AND(#REF!,"AAAAACP+dhk=")</f>
        <v>#REF!</v>
      </c>
      <c r="AA34" t="e">
        <f>AND(#REF!,"AAAAACP+dho=")</f>
        <v>#REF!</v>
      </c>
      <c r="AB34" t="e">
        <f>AND(#REF!,"AAAAACP+dhs=")</f>
        <v>#REF!</v>
      </c>
      <c r="AC34" t="e">
        <f>AND(#REF!,"AAAAACP+dhw=")</f>
        <v>#REF!</v>
      </c>
      <c r="AD34" t="e">
        <f>AND(#REF!,"AAAAACP+dh0=")</f>
        <v>#REF!</v>
      </c>
      <c r="AE34" t="e">
        <f>AND(#REF!,"AAAAACP+dh4=")</f>
        <v>#REF!</v>
      </c>
      <c r="AF34" t="e">
        <f>AND(#REF!,"AAAAACP+dh8=")</f>
        <v>#REF!</v>
      </c>
      <c r="AG34" t="e">
        <f>AND(#REF!,"AAAAACP+diA=")</f>
        <v>#REF!</v>
      </c>
      <c r="AH34" t="e">
        <f>AND(#REF!,"AAAAACP+diE=")</f>
        <v>#REF!</v>
      </c>
      <c r="AI34" t="e">
        <f>AND(#REF!,"AAAAACP+diI=")</f>
        <v>#REF!</v>
      </c>
      <c r="AJ34" t="e">
        <f>AND(#REF!,"AAAAACP+diM=")</f>
        <v>#REF!</v>
      </c>
      <c r="AK34" t="e">
        <f>AND(#REF!,"AAAAACP+diQ=")</f>
        <v>#REF!</v>
      </c>
      <c r="AL34" t="e">
        <f>AND(#REF!,"AAAAACP+diU=")</f>
        <v>#REF!</v>
      </c>
      <c r="AM34" t="e">
        <f>AND(#REF!,"AAAAACP+diY=")</f>
        <v>#REF!</v>
      </c>
      <c r="AN34" t="e">
        <f>AND(#REF!,"AAAAACP+dic=")</f>
        <v>#REF!</v>
      </c>
      <c r="AO34" t="e">
        <f>AND(#REF!,"AAAAACP+dig=")</f>
        <v>#REF!</v>
      </c>
      <c r="AP34" t="e">
        <f>IF(#REF!,"AAAAACP+dik=",0)</f>
        <v>#REF!</v>
      </c>
      <c r="AQ34" t="e">
        <f>AND(#REF!,"AAAAACP+dio=")</f>
        <v>#REF!</v>
      </c>
      <c r="AR34" t="e">
        <f>AND(#REF!,"AAAAACP+dis=")</f>
        <v>#REF!</v>
      </c>
      <c r="AS34" t="e">
        <f>AND(#REF!,"AAAAACP+diw=")</f>
        <v>#REF!</v>
      </c>
      <c r="AT34" t="e">
        <f>AND(#REF!,"AAAAACP+di0=")</f>
        <v>#REF!</v>
      </c>
      <c r="AU34" t="e">
        <f>AND(#REF!,"AAAAACP+di4=")</f>
        <v>#REF!</v>
      </c>
      <c r="AV34" t="e">
        <f>AND(#REF!,"AAAAACP+di8=")</f>
        <v>#REF!</v>
      </c>
      <c r="AW34" t="e">
        <f>AND(#REF!,"AAAAACP+djA=")</f>
        <v>#REF!</v>
      </c>
      <c r="AX34" t="e">
        <f>AND(#REF!,"AAAAACP+djE=")</f>
        <v>#REF!</v>
      </c>
      <c r="AY34" t="e">
        <f>AND(#REF!,"AAAAACP+djI=")</f>
        <v>#REF!</v>
      </c>
      <c r="AZ34" t="e">
        <f>AND(#REF!,"AAAAACP+djM=")</f>
        <v>#REF!</v>
      </c>
      <c r="BA34" t="e">
        <f>AND(#REF!,"AAAAACP+djQ=")</f>
        <v>#REF!</v>
      </c>
      <c r="BB34" t="e">
        <f>AND(#REF!,"AAAAACP+djU=")</f>
        <v>#REF!</v>
      </c>
      <c r="BC34" t="e">
        <f>AND(#REF!,"AAAAACP+djY=")</f>
        <v>#REF!</v>
      </c>
      <c r="BD34" t="e">
        <f>AND(#REF!,"AAAAACP+djc=")</f>
        <v>#REF!</v>
      </c>
      <c r="BE34" t="e">
        <f>AND(#REF!,"AAAAACP+djg=")</f>
        <v>#REF!</v>
      </c>
      <c r="BF34" t="e">
        <f>AND(#REF!,"AAAAACP+djk=")</f>
        <v>#REF!</v>
      </c>
      <c r="BG34" t="e">
        <f>AND(#REF!,"AAAAACP+djo=")</f>
        <v>#REF!</v>
      </c>
      <c r="BH34" t="e">
        <f>AND(#REF!,"AAAAACP+djs=")</f>
        <v>#REF!</v>
      </c>
      <c r="BI34" t="e">
        <f>IF(#REF!,"AAAAACP+djw=",0)</f>
        <v>#REF!</v>
      </c>
      <c r="BJ34" t="e">
        <f>AND(#REF!,"AAAAACP+dj0=")</f>
        <v>#REF!</v>
      </c>
      <c r="BK34" t="e">
        <f>AND(#REF!,"AAAAACP+dj4=")</f>
        <v>#REF!</v>
      </c>
      <c r="BL34" t="e">
        <f>AND(#REF!,"AAAAACP+dj8=")</f>
        <v>#REF!</v>
      </c>
      <c r="BM34" t="e">
        <f>AND(#REF!,"AAAAACP+dkA=")</f>
        <v>#REF!</v>
      </c>
      <c r="BN34" t="e">
        <f>AND(#REF!,"AAAAACP+dkE=")</f>
        <v>#REF!</v>
      </c>
      <c r="BO34" t="e">
        <f>AND(#REF!,"AAAAACP+dkI=")</f>
        <v>#REF!</v>
      </c>
      <c r="BP34" t="e">
        <f>AND(#REF!,"AAAAACP+dkM=")</f>
        <v>#REF!</v>
      </c>
      <c r="BQ34" t="e">
        <f>AND(#REF!,"AAAAACP+dkQ=")</f>
        <v>#REF!</v>
      </c>
      <c r="BR34" t="e">
        <f>AND(#REF!,"AAAAACP+dkU=")</f>
        <v>#REF!</v>
      </c>
      <c r="BS34" t="e">
        <f>AND(#REF!,"AAAAACP+dkY=")</f>
        <v>#REF!</v>
      </c>
      <c r="BT34" t="e">
        <f>AND(#REF!,"AAAAACP+dkc=")</f>
        <v>#REF!</v>
      </c>
      <c r="BU34" t="e">
        <f>AND(#REF!,"AAAAACP+dkg=")</f>
        <v>#REF!</v>
      </c>
      <c r="BV34" t="e">
        <f>AND(#REF!,"AAAAACP+dkk=")</f>
        <v>#REF!</v>
      </c>
      <c r="BW34" t="e">
        <f>AND(#REF!,"AAAAACP+dko=")</f>
        <v>#REF!</v>
      </c>
      <c r="BX34" t="e">
        <f>AND(#REF!,"AAAAACP+dks=")</f>
        <v>#REF!</v>
      </c>
      <c r="BY34" t="e">
        <f>AND(#REF!,"AAAAACP+dkw=")</f>
        <v>#REF!</v>
      </c>
      <c r="BZ34" t="e">
        <f>AND(#REF!,"AAAAACP+dk0=")</f>
        <v>#REF!</v>
      </c>
      <c r="CA34" t="e">
        <f>AND(#REF!,"AAAAACP+dk4=")</f>
        <v>#REF!</v>
      </c>
      <c r="CB34" t="e">
        <f>IF(#REF!,"AAAAACP+dk8=",0)</f>
        <v>#REF!</v>
      </c>
      <c r="CC34" t="e">
        <f>AND(#REF!,"AAAAACP+dlA=")</f>
        <v>#REF!</v>
      </c>
      <c r="CD34" t="e">
        <f>AND(#REF!,"AAAAACP+dlE=")</f>
        <v>#REF!</v>
      </c>
      <c r="CE34" t="e">
        <f>AND(#REF!,"AAAAACP+dlI=")</f>
        <v>#REF!</v>
      </c>
      <c r="CF34" t="e">
        <f>AND(#REF!,"AAAAACP+dlM=")</f>
        <v>#REF!</v>
      </c>
      <c r="CG34" t="e">
        <f>AND(#REF!,"AAAAACP+dlQ=")</f>
        <v>#REF!</v>
      </c>
      <c r="CH34" t="e">
        <f>AND(#REF!,"AAAAACP+dlU=")</f>
        <v>#REF!</v>
      </c>
      <c r="CI34" t="e">
        <f>AND(#REF!,"AAAAACP+dlY=")</f>
        <v>#REF!</v>
      </c>
      <c r="CJ34" t="e">
        <f>AND(#REF!,"AAAAACP+dlc=")</f>
        <v>#REF!</v>
      </c>
      <c r="CK34" t="e">
        <f>AND(#REF!,"AAAAACP+dlg=")</f>
        <v>#REF!</v>
      </c>
      <c r="CL34" t="e">
        <f>AND(#REF!,"AAAAACP+dlk=")</f>
        <v>#REF!</v>
      </c>
      <c r="CM34" t="e">
        <f>AND(#REF!,"AAAAACP+dlo=")</f>
        <v>#REF!</v>
      </c>
      <c r="CN34" t="e">
        <f>AND(#REF!,"AAAAACP+dls=")</f>
        <v>#REF!</v>
      </c>
      <c r="CO34" t="e">
        <f>AND(#REF!,"AAAAACP+dlw=")</f>
        <v>#REF!</v>
      </c>
      <c r="CP34" t="e">
        <f>AND(#REF!,"AAAAACP+dl0=")</f>
        <v>#REF!</v>
      </c>
      <c r="CQ34" t="e">
        <f>AND(#REF!,"AAAAACP+dl4=")</f>
        <v>#REF!</v>
      </c>
      <c r="CR34" t="e">
        <f>AND(#REF!,"AAAAACP+dl8=")</f>
        <v>#REF!</v>
      </c>
      <c r="CS34" t="e">
        <f>AND(#REF!,"AAAAACP+dmA=")</f>
        <v>#REF!</v>
      </c>
      <c r="CT34" t="e">
        <f>AND(#REF!,"AAAAACP+dmE=")</f>
        <v>#REF!</v>
      </c>
      <c r="CU34" t="e">
        <f>IF(#REF!,"AAAAACP+dmI=",0)</f>
        <v>#REF!</v>
      </c>
      <c r="CV34" t="e">
        <f>AND(#REF!,"AAAAACP+dmM=")</f>
        <v>#REF!</v>
      </c>
      <c r="CW34" t="e">
        <f>AND(#REF!,"AAAAACP+dmQ=")</f>
        <v>#REF!</v>
      </c>
      <c r="CX34" t="e">
        <f>AND(#REF!,"AAAAACP+dmU=")</f>
        <v>#REF!</v>
      </c>
      <c r="CY34" t="e">
        <f>AND(#REF!,"AAAAACP+dmY=")</f>
        <v>#REF!</v>
      </c>
      <c r="CZ34" t="e">
        <f>AND(#REF!,"AAAAACP+dmc=")</f>
        <v>#REF!</v>
      </c>
      <c r="DA34" t="e">
        <f>AND(#REF!,"AAAAACP+dmg=")</f>
        <v>#REF!</v>
      </c>
      <c r="DB34" t="e">
        <f>AND(#REF!,"AAAAACP+dmk=")</f>
        <v>#REF!</v>
      </c>
      <c r="DC34" t="e">
        <f>AND(#REF!,"AAAAACP+dmo=")</f>
        <v>#REF!</v>
      </c>
      <c r="DD34" t="e">
        <f>AND(#REF!,"AAAAACP+dms=")</f>
        <v>#REF!</v>
      </c>
      <c r="DE34" t="e">
        <f>AND(#REF!,"AAAAACP+dmw=")</f>
        <v>#REF!</v>
      </c>
      <c r="DF34" t="e">
        <f>AND(#REF!,"AAAAACP+dm0=")</f>
        <v>#REF!</v>
      </c>
      <c r="DG34" t="e">
        <f>AND(#REF!,"AAAAACP+dm4=")</f>
        <v>#REF!</v>
      </c>
      <c r="DH34" t="e">
        <f>AND(#REF!,"AAAAACP+dm8=")</f>
        <v>#REF!</v>
      </c>
      <c r="DI34" t="e">
        <f>AND(#REF!,"AAAAACP+dnA=")</f>
        <v>#REF!</v>
      </c>
      <c r="DJ34" t="e">
        <f>AND(#REF!,"AAAAACP+dnE=")</f>
        <v>#REF!</v>
      </c>
      <c r="DK34" t="e">
        <f>AND(#REF!,"AAAAACP+dnI=")</f>
        <v>#REF!</v>
      </c>
      <c r="DL34" t="e">
        <f>AND(#REF!,"AAAAACP+dnM=")</f>
        <v>#REF!</v>
      </c>
      <c r="DM34" t="e">
        <f>AND(#REF!,"AAAAACP+dnQ=")</f>
        <v>#REF!</v>
      </c>
      <c r="DN34" t="e">
        <f>IF(#REF!,"AAAAACP+dnU=",0)</f>
        <v>#REF!</v>
      </c>
      <c r="DO34" t="e">
        <f>AND(#REF!,"AAAAACP+dnY=")</f>
        <v>#REF!</v>
      </c>
      <c r="DP34" t="e">
        <f>AND(#REF!,"AAAAACP+dnc=")</f>
        <v>#REF!</v>
      </c>
      <c r="DQ34" t="e">
        <f>AND(#REF!,"AAAAACP+dng=")</f>
        <v>#REF!</v>
      </c>
      <c r="DR34" t="e">
        <f>AND(#REF!,"AAAAACP+dnk=")</f>
        <v>#REF!</v>
      </c>
      <c r="DS34" t="e">
        <f>AND(#REF!,"AAAAACP+dno=")</f>
        <v>#REF!</v>
      </c>
      <c r="DT34" t="e">
        <f>AND(#REF!,"AAAAACP+dns=")</f>
        <v>#REF!</v>
      </c>
      <c r="DU34" t="e">
        <f>AND(#REF!,"AAAAACP+dnw=")</f>
        <v>#REF!</v>
      </c>
      <c r="DV34" t="e">
        <f>AND(#REF!,"AAAAACP+dn0=")</f>
        <v>#REF!</v>
      </c>
      <c r="DW34" t="e">
        <f>AND(#REF!,"AAAAACP+dn4=")</f>
        <v>#REF!</v>
      </c>
      <c r="DX34" t="e">
        <f>AND(#REF!,"AAAAACP+dn8=")</f>
        <v>#REF!</v>
      </c>
      <c r="DY34" t="e">
        <f>AND(#REF!,"AAAAACP+doA=")</f>
        <v>#REF!</v>
      </c>
      <c r="DZ34" t="e">
        <f>AND(#REF!,"AAAAACP+doE=")</f>
        <v>#REF!</v>
      </c>
      <c r="EA34" t="e">
        <f>AND(#REF!,"AAAAACP+doI=")</f>
        <v>#REF!</v>
      </c>
      <c r="EB34" t="e">
        <f>AND(#REF!,"AAAAACP+doM=")</f>
        <v>#REF!</v>
      </c>
      <c r="EC34" t="e">
        <f>AND(#REF!,"AAAAACP+doQ=")</f>
        <v>#REF!</v>
      </c>
      <c r="ED34" t="e">
        <f>AND(#REF!,"AAAAACP+doU=")</f>
        <v>#REF!</v>
      </c>
      <c r="EE34" t="e">
        <f>AND(#REF!,"AAAAACP+doY=")</f>
        <v>#REF!</v>
      </c>
      <c r="EF34" t="e">
        <f>AND(#REF!,"AAAAACP+doc=")</f>
        <v>#REF!</v>
      </c>
      <c r="EG34" t="e">
        <f>IF(#REF!,"AAAAACP+dog=",0)</f>
        <v>#REF!</v>
      </c>
      <c r="EH34" t="e">
        <f>AND(#REF!,"AAAAACP+dok=")</f>
        <v>#REF!</v>
      </c>
      <c r="EI34" t="e">
        <f>AND(#REF!,"AAAAACP+doo=")</f>
        <v>#REF!</v>
      </c>
      <c r="EJ34" t="e">
        <f>AND(#REF!,"AAAAACP+dos=")</f>
        <v>#REF!</v>
      </c>
      <c r="EK34" t="e">
        <f>AND(#REF!,"AAAAACP+dow=")</f>
        <v>#REF!</v>
      </c>
      <c r="EL34" t="e">
        <f>AND(#REF!,"AAAAACP+do0=")</f>
        <v>#REF!</v>
      </c>
      <c r="EM34" t="e">
        <f>AND(#REF!,"AAAAACP+do4=")</f>
        <v>#REF!</v>
      </c>
      <c r="EN34" t="e">
        <f>AND(#REF!,"AAAAACP+do8=")</f>
        <v>#REF!</v>
      </c>
      <c r="EO34" t="e">
        <f>AND(#REF!,"AAAAACP+dpA=")</f>
        <v>#REF!</v>
      </c>
      <c r="EP34" t="e">
        <f>AND(#REF!,"AAAAACP+dpE=")</f>
        <v>#REF!</v>
      </c>
      <c r="EQ34" t="e">
        <f>AND(#REF!,"AAAAACP+dpI=")</f>
        <v>#REF!</v>
      </c>
      <c r="ER34" t="e">
        <f>AND(#REF!,"AAAAACP+dpM=")</f>
        <v>#REF!</v>
      </c>
      <c r="ES34" t="e">
        <f>AND(#REF!,"AAAAACP+dpQ=")</f>
        <v>#REF!</v>
      </c>
      <c r="ET34" t="e">
        <f>AND(#REF!,"AAAAACP+dpU=")</f>
        <v>#REF!</v>
      </c>
      <c r="EU34" t="e">
        <f>AND(#REF!,"AAAAACP+dpY=")</f>
        <v>#REF!</v>
      </c>
      <c r="EV34" t="e">
        <f>AND(#REF!,"AAAAACP+dpc=")</f>
        <v>#REF!</v>
      </c>
      <c r="EW34" t="e">
        <f>AND(#REF!,"AAAAACP+dpg=")</f>
        <v>#REF!</v>
      </c>
      <c r="EX34" t="e">
        <f>AND(#REF!,"AAAAACP+dpk=")</f>
        <v>#REF!</v>
      </c>
      <c r="EY34" t="e">
        <f>AND(#REF!,"AAAAACP+dpo=")</f>
        <v>#REF!</v>
      </c>
      <c r="EZ34" t="e">
        <f>IF(#REF!,"AAAAACP+dps=",0)</f>
        <v>#REF!</v>
      </c>
      <c r="FA34" t="e">
        <f>AND(#REF!,"AAAAACP+dpw=")</f>
        <v>#REF!</v>
      </c>
      <c r="FB34" t="e">
        <f>AND(#REF!,"AAAAACP+dp0=")</f>
        <v>#REF!</v>
      </c>
      <c r="FC34" t="e">
        <f>AND(#REF!,"AAAAACP+dp4=")</f>
        <v>#REF!</v>
      </c>
      <c r="FD34" t="e">
        <f>AND(#REF!,"AAAAACP+dp8=")</f>
        <v>#REF!</v>
      </c>
      <c r="FE34" t="e">
        <f>AND(#REF!,"AAAAACP+dqA=")</f>
        <v>#REF!</v>
      </c>
      <c r="FF34" t="e">
        <f>AND(#REF!,"AAAAACP+dqE=")</f>
        <v>#REF!</v>
      </c>
      <c r="FG34" t="e">
        <f>AND(#REF!,"AAAAACP+dqI=")</f>
        <v>#REF!</v>
      </c>
      <c r="FH34" t="e">
        <f>AND(#REF!,"AAAAACP+dqM=")</f>
        <v>#REF!</v>
      </c>
      <c r="FI34" t="e">
        <f>AND(#REF!,"AAAAACP+dqQ=")</f>
        <v>#REF!</v>
      </c>
      <c r="FJ34" t="e">
        <f>AND(#REF!,"AAAAACP+dqU=")</f>
        <v>#REF!</v>
      </c>
      <c r="FK34" t="e">
        <f>AND(#REF!,"AAAAACP+dqY=")</f>
        <v>#REF!</v>
      </c>
      <c r="FL34" t="e">
        <f>AND(#REF!,"AAAAACP+dqc=")</f>
        <v>#REF!</v>
      </c>
      <c r="FM34" t="e">
        <f>AND(#REF!,"AAAAACP+dqg=")</f>
        <v>#REF!</v>
      </c>
      <c r="FN34" t="e">
        <f>AND(#REF!,"AAAAACP+dqk=")</f>
        <v>#REF!</v>
      </c>
      <c r="FO34" t="e">
        <f>AND(#REF!,"AAAAACP+dqo=")</f>
        <v>#REF!</v>
      </c>
      <c r="FP34" t="e">
        <f>AND(#REF!,"AAAAACP+dqs=")</f>
        <v>#REF!</v>
      </c>
      <c r="FQ34" t="e">
        <f>AND(#REF!,"AAAAACP+dqw=")</f>
        <v>#REF!</v>
      </c>
      <c r="FR34" t="e">
        <f>AND(#REF!,"AAAAACP+dq0=")</f>
        <v>#REF!</v>
      </c>
      <c r="FS34" t="e">
        <f>IF(#REF!,"AAAAACP+dq4=",0)</f>
        <v>#REF!</v>
      </c>
      <c r="FT34" t="e">
        <f>AND(#REF!,"AAAAACP+dq8=")</f>
        <v>#REF!</v>
      </c>
      <c r="FU34" t="e">
        <f>AND(#REF!,"AAAAACP+drA=")</f>
        <v>#REF!</v>
      </c>
      <c r="FV34" t="e">
        <f>AND(#REF!,"AAAAACP+drE=")</f>
        <v>#REF!</v>
      </c>
      <c r="FW34" t="e">
        <f>AND(#REF!,"AAAAACP+drI=")</f>
        <v>#REF!</v>
      </c>
      <c r="FX34" t="e">
        <f>AND(#REF!,"AAAAACP+drM=")</f>
        <v>#REF!</v>
      </c>
      <c r="FY34" t="e">
        <f>AND(#REF!,"AAAAACP+drQ=")</f>
        <v>#REF!</v>
      </c>
      <c r="FZ34" t="e">
        <f>AND(#REF!,"AAAAACP+drU=")</f>
        <v>#REF!</v>
      </c>
      <c r="GA34" t="e">
        <f>AND(#REF!,"AAAAACP+drY=")</f>
        <v>#REF!</v>
      </c>
      <c r="GB34" t="e">
        <f>AND(#REF!,"AAAAACP+drc=")</f>
        <v>#REF!</v>
      </c>
      <c r="GC34" t="e">
        <f>AND(#REF!,"AAAAACP+drg=")</f>
        <v>#REF!</v>
      </c>
      <c r="GD34" t="e">
        <f>AND(#REF!,"AAAAACP+drk=")</f>
        <v>#REF!</v>
      </c>
      <c r="GE34" t="e">
        <f>AND(#REF!,"AAAAACP+dro=")</f>
        <v>#REF!</v>
      </c>
      <c r="GF34" t="e">
        <f>AND(#REF!,"AAAAACP+drs=")</f>
        <v>#REF!</v>
      </c>
      <c r="GG34" t="e">
        <f>AND(#REF!,"AAAAACP+drw=")</f>
        <v>#REF!</v>
      </c>
      <c r="GH34" t="e">
        <f>AND(#REF!,"AAAAACP+dr0=")</f>
        <v>#REF!</v>
      </c>
      <c r="GI34" t="e">
        <f>AND(#REF!,"AAAAACP+dr4=")</f>
        <v>#REF!</v>
      </c>
      <c r="GJ34" t="e">
        <f>AND(#REF!,"AAAAACP+dr8=")</f>
        <v>#REF!</v>
      </c>
      <c r="GK34" t="e">
        <f>AND(#REF!,"AAAAACP+dsA=")</f>
        <v>#REF!</v>
      </c>
      <c r="GL34" t="e">
        <f>IF(#REF!,"AAAAACP+dsE=",0)</f>
        <v>#REF!</v>
      </c>
      <c r="GM34" t="e">
        <f>AND(#REF!,"AAAAACP+dsI=")</f>
        <v>#REF!</v>
      </c>
      <c r="GN34" t="e">
        <f>AND(#REF!,"AAAAACP+dsM=")</f>
        <v>#REF!</v>
      </c>
      <c r="GO34" t="e">
        <f>AND(#REF!,"AAAAACP+dsQ=")</f>
        <v>#REF!</v>
      </c>
      <c r="GP34" t="e">
        <f>AND(#REF!,"AAAAACP+dsU=")</f>
        <v>#REF!</v>
      </c>
      <c r="GQ34" t="e">
        <f>AND(#REF!,"AAAAACP+dsY=")</f>
        <v>#REF!</v>
      </c>
      <c r="GR34" t="e">
        <f>AND(#REF!,"AAAAACP+dsc=")</f>
        <v>#REF!</v>
      </c>
      <c r="GS34" t="e">
        <f>AND(#REF!,"AAAAACP+dsg=")</f>
        <v>#REF!</v>
      </c>
      <c r="GT34" t="e">
        <f>AND(#REF!,"AAAAACP+dsk=")</f>
        <v>#REF!</v>
      </c>
      <c r="GU34" t="e">
        <f>AND(#REF!,"AAAAACP+dso=")</f>
        <v>#REF!</v>
      </c>
      <c r="GV34" t="e">
        <f>AND(#REF!,"AAAAACP+dss=")</f>
        <v>#REF!</v>
      </c>
      <c r="GW34" t="e">
        <f>AND(#REF!,"AAAAACP+dsw=")</f>
        <v>#REF!</v>
      </c>
      <c r="GX34" t="e">
        <f>AND(#REF!,"AAAAACP+ds0=")</f>
        <v>#REF!</v>
      </c>
      <c r="GY34" t="e">
        <f>AND(#REF!,"AAAAACP+ds4=")</f>
        <v>#REF!</v>
      </c>
      <c r="GZ34" t="e">
        <f>AND(#REF!,"AAAAACP+ds8=")</f>
        <v>#REF!</v>
      </c>
      <c r="HA34" t="e">
        <f>AND(#REF!,"AAAAACP+dtA=")</f>
        <v>#REF!</v>
      </c>
      <c r="HB34" t="e">
        <f>AND(#REF!,"AAAAACP+dtE=")</f>
        <v>#REF!</v>
      </c>
      <c r="HC34" t="e">
        <f>AND(#REF!,"AAAAACP+dtI=")</f>
        <v>#REF!</v>
      </c>
      <c r="HD34" t="e">
        <f>AND(#REF!,"AAAAACP+dtM=")</f>
        <v>#REF!</v>
      </c>
      <c r="HE34" t="e">
        <f>IF(#REF!,"AAAAACP+dtQ=",0)</f>
        <v>#REF!</v>
      </c>
      <c r="HF34" t="e">
        <f>AND(#REF!,"AAAAACP+dtU=")</f>
        <v>#REF!</v>
      </c>
      <c r="HG34" t="e">
        <f>AND(#REF!,"AAAAACP+dtY=")</f>
        <v>#REF!</v>
      </c>
      <c r="HH34" t="e">
        <f>AND(#REF!,"AAAAACP+dtc=")</f>
        <v>#REF!</v>
      </c>
      <c r="HI34" t="e">
        <f>AND(#REF!,"AAAAACP+dtg=")</f>
        <v>#REF!</v>
      </c>
      <c r="HJ34" t="e">
        <f>AND(#REF!,"AAAAACP+dtk=")</f>
        <v>#REF!</v>
      </c>
      <c r="HK34" t="e">
        <f>AND(#REF!,"AAAAACP+dto=")</f>
        <v>#REF!</v>
      </c>
      <c r="HL34" t="e">
        <f>AND(#REF!,"AAAAACP+dts=")</f>
        <v>#REF!</v>
      </c>
      <c r="HM34" t="e">
        <f>AND(#REF!,"AAAAACP+dtw=")</f>
        <v>#REF!</v>
      </c>
      <c r="HN34" t="e">
        <f>AND(#REF!,"AAAAACP+dt0=")</f>
        <v>#REF!</v>
      </c>
      <c r="HO34" t="e">
        <f>AND(#REF!,"AAAAACP+dt4=")</f>
        <v>#REF!</v>
      </c>
      <c r="HP34" t="e">
        <f>AND(#REF!,"AAAAACP+dt8=")</f>
        <v>#REF!</v>
      </c>
      <c r="HQ34" t="e">
        <f>AND(#REF!,"AAAAACP+duA=")</f>
        <v>#REF!</v>
      </c>
      <c r="HR34" t="e">
        <f>AND(#REF!,"AAAAACP+duE=")</f>
        <v>#REF!</v>
      </c>
      <c r="HS34" t="e">
        <f>AND(#REF!,"AAAAACP+duI=")</f>
        <v>#REF!</v>
      </c>
      <c r="HT34" t="e">
        <f>AND(#REF!,"AAAAACP+duM=")</f>
        <v>#REF!</v>
      </c>
      <c r="HU34" t="e">
        <f>AND(#REF!,"AAAAACP+duQ=")</f>
        <v>#REF!</v>
      </c>
      <c r="HV34" t="e">
        <f>AND(#REF!,"AAAAACP+duU=")</f>
        <v>#REF!</v>
      </c>
      <c r="HW34" t="e">
        <f>AND(#REF!,"AAAAACP+duY=")</f>
        <v>#REF!</v>
      </c>
      <c r="HX34" t="e">
        <f>IF(#REF!,"AAAAACP+duc=",0)</f>
        <v>#REF!</v>
      </c>
      <c r="HY34" t="e">
        <f>AND(#REF!,"AAAAACP+dug=")</f>
        <v>#REF!</v>
      </c>
      <c r="HZ34" t="e">
        <f>AND(#REF!,"AAAAACP+duk=")</f>
        <v>#REF!</v>
      </c>
      <c r="IA34" t="e">
        <f>AND(#REF!,"AAAAACP+duo=")</f>
        <v>#REF!</v>
      </c>
      <c r="IB34" t="e">
        <f>AND(#REF!,"AAAAACP+dus=")</f>
        <v>#REF!</v>
      </c>
      <c r="IC34" t="e">
        <f>AND(#REF!,"AAAAACP+duw=")</f>
        <v>#REF!</v>
      </c>
      <c r="ID34" t="e">
        <f>AND(#REF!,"AAAAACP+du0=")</f>
        <v>#REF!</v>
      </c>
      <c r="IE34" t="e">
        <f>AND(#REF!,"AAAAACP+du4=")</f>
        <v>#REF!</v>
      </c>
      <c r="IF34" t="e">
        <f>AND(#REF!,"AAAAACP+du8=")</f>
        <v>#REF!</v>
      </c>
      <c r="IG34" t="e">
        <f>AND(#REF!,"AAAAACP+dvA=")</f>
        <v>#REF!</v>
      </c>
      <c r="IH34" t="e">
        <f>AND(#REF!,"AAAAACP+dvE=")</f>
        <v>#REF!</v>
      </c>
      <c r="II34" t="e">
        <f>AND(#REF!,"AAAAACP+dvI=")</f>
        <v>#REF!</v>
      </c>
      <c r="IJ34" t="e">
        <f>AND(#REF!,"AAAAACP+dvM=")</f>
        <v>#REF!</v>
      </c>
      <c r="IK34" t="e">
        <f>AND(#REF!,"AAAAACP+dvQ=")</f>
        <v>#REF!</v>
      </c>
      <c r="IL34" t="e">
        <f>AND(#REF!,"AAAAACP+dvU=")</f>
        <v>#REF!</v>
      </c>
      <c r="IM34" t="e">
        <f>AND(#REF!,"AAAAACP+dvY=")</f>
        <v>#REF!</v>
      </c>
      <c r="IN34" t="e">
        <f>AND(#REF!,"AAAAACP+dvc=")</f>
        <v>#REF!</v>
      </c>
      <c r="IO34" t="e">
        <f>AND(#REF!,"AAAAACP+dvg=")</f>
        <v>#REF!</v>
      </c>
      <c r="IP34" t="e">
        <f>AND(#REF!,"AAAAACP+dvk=")</f>
        <v>#REF!</v>
      </c>
      <c r="IQ34" t="e">
        <f>IF(#REF!,"AAAAACP+dvo=",0)</f>
        <v>#REF!</v>
      </c>
      <c r="IR34" t="e">
        <f>AND(#REF!,"AAAAACP+dvs=")</f>
        <v>#REF!</v>
      </c>
      <c r="IS34" t="e">
        <f>AND(#REF!,"AAAAACP+dvw=")</f>
        <v>#REF!</v>
      </c>
      <c r="IT34" t="e">
        <f>AND(#REF!,"AAAAACP+dv0=")</f>
        <v>#REF!</v>
      </c>
      <c r="IU34" t="e">
        <f>AND(#REF!,"AAAAACP+dv4=")</f>
        <v>#REF!</v>
      </c>
      <c r="IV34" t="e">
        <f>AND(#REF!,"AAAAACP+dv8=")</f>
        <v>#REF!</v>
      </c>
    </row>
    <row r="35" spans="1:256" x14ac:dyDescent="0.15">
      <c r="A35" t="e">
        <f>AND(#REF!,"AAAAAEW/VgA=")</f>
        <v>#REF!</v>
      </c>
      <c r="B35" t="e">
        <f>AND(#REF!,"AAAAAEW/VgE=")</f>
        <v>#REF!</v>
      </c>
      <c r="C35" t="e">
        <f>AND(#REF!,"AAAAAEW/VgI=")</f>
        <v>#REF!</v>
      </c>
      <c r="D35" t="e">
        <f>AND(#REF!,"AAAAAEW/VgM=")</f>
        <v>#REF!</v>
      </c>
      <c r="E35" t="e">
        <f>AND(#REF!,"AAAAAEW/VgQ=")</f>
        <v>#REF!</v>
      </c>
      <c r="F35" t="e">
        <f>AND(#REF!,"AAAAAEW/VgU=")</f>
        <v>#REF!</v>
      </c>
      <c r="G35" t="e">
        <f>AND(#REF!,"AAAAAEW/VgY=")</f>
        <v>#REF!</v>
      </c>
      <c r="H35" t="e">
        <f>AND(#REF!,"AAAAAEW/Vgc=")</f>
        <v>#REF!</v>
      </c>
      <c r="I35" t="e">
        <f>AND(#REF!,"AAAAAEW/Vgg=")</f>
        <v>#REF!</v>
      </c>
      <c r="J35" t="e">
        <f>AND(#REF!,"AAAAAEW/Vgk=")</f>
        <v>#REF!</v>
      </c>
      <c r="K35" t="e">
        <f>AND(#REF!,"AAAAAEW/Vgo=")</f>
        <v>#REF!</v>
      </c>
      <c r="L35" t="e">
        <f>AND(#REF!,"AAAAAEW/Vgs=")</f>
        <v>#REF!</v>
      </c>
      <c r="M35" t="e">
        <f>AND(#REF!,"AAAAAEW/Vgw=")</f>
        <v>#REF!</v>
      </c>
      <c r="N35" t="e">
        <f>IF(#REF!,"AAAAAEW/Vg0=",0)</f>
        <v>#REF!</v>
      </c>
      <c r="O35" t="e">
        <f>AND(#REF!,"AAAAAEW/Vg4=")</f>
        <v>#REF!</v>
      </c>
      <c r="P35" t="e">
        <f>AND(#REF!,"AAAAAEW/Vg8=")</f>
        <v>#REF!</v>
      </c>
      <c r="Q35" t="e">
        <f>AND(#REF!,"AAAAAEW/VhA=")</f>
        <v>#REF!</v>
      </c>
      <c r="R35" t="e">
        <f>AND(#REF!,"AAAAAEW/VhE=")</f>
        <v>#REF!</v>
      </c>
      <c r="S35" t="e">
        <f>AND(#REF!,"AAAAAEW/VhI=")</f>
        <v>#REF!</v>
      </c>
      <c r="T35" t="e">
        <f>AND(#REF!,"AAAAAEW/VhM=")</f>
        <v>#REF!</v>
      </c>
      <c r="U35" t="e">
        <f>AND(#REF!,"AAAAAEW/VhQ=")</f>
        <v>#REF!</v>
      </c>
      <c r="V35" t="e">
        <f>AND(#REF!,"AAAAAEW/VhU=")</f>
        <v>#REF!</v>
      </c>
      <c r="W35" t="e">
        <f>AND(#REF!,"AAAAAEW/VhY=")</f>
        <v>#REF!</v>
      </c>
      <c r="X35" t="e">
        <f>AND(#REF!,"AAAAAEW/Vhc=")</f>
        <v>#REF!</v>
      </c>
      <c r="Y35" t="e">
        <f>AND(#REF!,"AAAAAEW/Vhg=")</f>
        <v>#REF!</v>
      </c>
      <c r="Z35" t="e">
        <f>AND(#REF!,"AAAAAEW/Vhk=")</f>
        <v>#REF!</v>
      </c>
      <c r="AA35" t="e">
        <f>AND(#REF!,"AAAAAEW/Vho=")</f>
        <v>#REF!</v>
      </c>
      <c r="AB35" t="e">
        <f>AND(#REF!,"AAAAAEW/Vhs=")</f>
        <v>#REF!</v>
      </c>
      <c r="AC35" t="e">
        <f>AND(#REF!,"AAAAAEW/Vhw=")</f>
        <v>#REF!</v>
      </c>
      <c r="AD35" t="e">
        <f>AND(#REF!,"AAAAAEW/Vh0=")</f>
        <v>#REF!</v>
      </c>
      <c r="AE35" t="e">
        <f>AND(#REF!,"AAAAAEW/Vh4=")</f>
        <v>#REF!</v>
      </c>
      <c r="AF35" t="e">
        <f>AND(#REF!,"AAAAAEW/Vh8=")</f>
        <v>#REF!</v>
      </c>
      <c r="AG35" t="e">
        <f>IF(#REF!,"AAAAAEW/ViA=",0)</f>
        <v>#REF!</v>
      </c>
      <c r="AH35" t="e">
        <f>AND(#REF!,"AAAAAEW/ViE=")</f>
        <v>#REF!</v>
      </c>
      <c r="AI35" t="e">
        <f>AND(#REF!,"AAAAAEW/ViI=")</f>
        <v>#REF!</v>
      </c>
      <c r="AJ35" t="e">
        <f>AND(#REF!,"AAAAAEW/ViM=")</f>
        <v>#REF!</v>
      </c>
      <c r="AK35" t="e">
        <f>AND(#REF!,"AAAAAEW/ViQ=")</f>
        <v>#REF!</v>
      </c>
      <c r="AL35" t="e">
        <f>AND(#REF!,"AAAAAEW/ViU=")</f>
        <v>#REF!</v>
      </c>
      <c r="AM35" t="e">
        <f>AND(#REF!,"AAAAAEW/ViY=")</f>
        <v>#REF!</v>
      </c>
      <c r="AN35" t="e">
        <f>AND(#REF!,"AAAAAEW/Vic=")</f>
        <v>#REF!</v>
      </c>
      <c r="AO35" t="e">
        <f>AND(#REF!,"AAAAAEW/Vig=")</f>
        <v>#REF!</v>
      </c>
      <c r="AP35" t="e">
        <f>AND(#REF!,"AAAAAEW/Vik=")</f>
        <v>#REF!</v>
      </c>
      <c r="AQ35" t="e">
        <f>AND(#REF!,"AAAAAEW/Vio=")</f>
        <v>#REF!</v>
      </c>
      <c r="AR35" t="e">
        <f>AND(#REF!,"AAAAAEW/Vis=")</f>
        <v>#REF!</v>
      </c>
      <c r="AS35" t="e">
        <f>AND(#REF!,"AAAAAEW/Viw=")</f>
        <v>#REF!</v>
      </c>
      <c r="AT35" t="e">
        <f>AND(#REF!,"AAAAAEW/Vi0=")</f>
        <v>#REF!</v>
      </c>
      <c r="AU35" t="e">
        <f>AND(#REF!,"AAAAAEW/Vi4=")</f>
        <v>#REF!</v>
      </c>
      <c r="AV35" t="e">
        <f>AND(#REF!,"AAAAAEW/Vi8=")</f>
        <v>#REF!</v>
      </c>
      <c r="AW35" t="e">
        <f>AND(#REF!,"AAAAAEW/VjA=")</f>
        <v>#REF!</v>
      </c>
      <c r="AX35" t="e">
        <f>AND(#REF!,"AAAAAEW/VjE=")</f>
        <v>#REF!</v>
      </c>
      <c r="AY35" t="e">
        <f>AND(#REF!,"AAAAAEW/VjI=")</f>
        <v>#REF!</v>
      </c>
      <c r="AZ35" t="e">
        <f>IF(#REF!,"AAAAAEW/VjM=",0)</f>
        <v>#REF!</v>
      </c>
      <c r="BA35" t="e">
        <f>AND(#REF!,"AAAAAEW/VjQ=")</f>
        <v>#REF!</v>
      </c>
      <c r="BB35" t="e">
        <f>AND(#REF!,"AAAAAEW/VjU=")</f>
        <v>#REF!</v>
      </c>
      <c r="BC35" t="e">
        <f>AND(#REF!,"AAAAAEW/VjY=")</f>
        <v>#REF!</v>
      </c>
      <c r="BD35" t="e">
        <f>AND(#REF!,"AAAAAEW/Vjc=")</f>
        <v>#REF!</v>
      </c>
      <c r="BE35" t="e">
        <f>AND(#REF!,"AAAAAEW/Vjg=")</f>
        <v>#REF!</v>
      </c>
      <c r="BF35" t="e">
        <f>AND(#REF!,"AAAAAEW/Vjk=")</f>
        <v>#REF!</v>
      </c>
      <c r="BG35" t="e">
        <f>AND(#REF!,"AAAAAEW/Vjo=")</f>
        <v>#REF!</v>
      </c>
      <c r="BH35" t="e">
        <f>AND(#REF!,"AAAAAEW/Vjs=")</f>
        <v>#REF!</v>
      </c>
      <c r="BI35" t="e">
        <f>AND(#REF!,"AAAAAEW/Vjw=")</f>
        <v>#REF!</v>
      </c>
      <c r="BJ35" t="e">
        <f>AND(#REF!,"AAAAAEW/Vj0=")</f>
        <v>#REF!</v>
      </c>
      <c r="BK35" t="e">
        <f>AND(#REF!,"AAAAAEW/Vj4=")</f>
        <v>#REF!</v>
      </c>
      <c r="BL35" t="e">
        <f>AND(#REF!,"AAAAAEW/Vj8=")</f>
        <v>#REF!</v>
      </c>
      <c r="BM35" t="e">
        <f>AND(#REF!,"AAAAAEW/VkA=")</f>
        <v>#REF!</v>
      </c>
      <c r="BN35" t="e">
        <f>AND(#REF!,"AAAAAEW/VkE=")</f>
        <v>#REF!</v>
      </c>
      <c r="BO35" t="e">
        <f>AND(#REF!,"AAAAAEW/VkI=")</f>
        <v>#REF!</v>
      </c>
      <c r="BP35" t="e">
        <f>AND(#REF!,"AAAAAEW/VkM=")</f>
        <v>#REF!</v>
      </c>
      <c r="BQ35" t="e">
        <f>AND(#REF!,"AAAAAEW/VkQ=")</f>
        <v>#REF!</v>
      </c>
      <c r="BR35" t="e">
        <f>AND(#REF!,"AAAAAEW/VkU=")</f>
        <v>#REF!</v>
      </c>
      <c r="BS35" t="e">
        <f>IF(#REF!,"AAAAAEW/VkY=",0)</f>
        <v>#REF!</v>
      </c>
      <c r="BT35" t="e">
        <f>AND(#REF!,"AAAAAEW/Vkc=")</f>
        <v>#REF!</v>
      </c>
      <c r="BU35" t="e">
        <f>AND(#REF!,"AAAAAEW/Vkg=")</f>
        <v>#REF!</v>
      </c>
      <c r="BV35" t="e">
        <f>AND(#REF!,"AAAAAEW/Vkk=")</f>
        <v>#REF!</v>
      </c>
      <c r="BW35" t="e">
        <f>AND(#REF!,"AAAAAEW/Vko=")</f>
        <v>#REF!</v>
      </c>
      <c r="BX35" t="e">
        <f>AND(#REF!,"AAAAAEW/Vks=")</f>
        <v>#REF!</v>
      </c>
      <c r="BY35" t="e">
        <f>AND(#REF!,"AAAAAEW/Vkw=")</f>
        <v>#REF!</v>
      </c>
      <c r="BZ35" t="e">
        <f>AND(#REF!,"AAAAAEW/Vk0=")</f>
        <v>#REF!</v>
      </c>
      <c r="CA35" t="e">
        <f>AND(#REF!,"AAAAAEW/Vk4=")</f>
        <v>#REF!</v>
      </c>
      <c r="CB35" t="e">
        <f>AND(#REF!,"AAAAAEW/Vk8=")</f>
        <v>#REF!</v>
      </c>
      <c r="CC35" t="e">
        <f>AND(#REF!,"AAAAAEW/VlA=")</f>
        <v>#REF!</v>
      </c>
      <c r="CD35" t="e">
        <f>AND(#REF!,"AAAAAEW/VlE=")</f>
        <v>#REF!</v>
      </c>
      <c r="CE35" t="e">
        <f>AND(#REF!,"AAAAAEW/VlI=")</f>
        <v>#REF!</v>
      </c>
      <c r="CF35" t="e">
        <f>AND(#REF!,"AAAAAEW/VlM=")</f>
        <v>#REF!</v>
      </c>
      <c r="CG35" t="e">
        <f>AND(#REF!,"AAAAAEW/VlQ=")</f>
        <v>#REF!</v>
      </c>
      <c r="CH35" t="e">
        <f>AND(#REF!,"AAAAAEW/VlU=")</f>
        <v>#REF!</v>
      </c>
      <c r="CI35" t="e">
        <f>AND(#REF!,"AAAAAEW/VlY=")</f>
        <v>#REF!</v>
      </c>
      <c r="CJ35" t="e">
        <f>AND(#REF!,"AAAAAEW/Vlc=")</f>
        <v>#REF!</v>
      </c>
      <c r="CK35" t="e">
        <f>AND(#REF!,"AAAAAEW/Vlg=")</f>
        <v>#REF!</v>
      </c>
      <c r="CL35" t="e">
        <f>IF(#REF!,"AAAAAEW/Vlk=",0)</f>
        <v>#REF!</v>
      </c>
      <c r="CM35" t="e">
        <f>AND(#REF!,"AAAAAEW/Vlo=")</f>
        <v>#REF!</v>
      </c>
      <c r="CN35" t="e">
        <f>AND(#REF!,"AAAAAEW/Vls=")</f>
        <v>#REF!</v>
      </c>
      <c r="CO35" t="e">
        <f>AND(#REF!,"AAAAAEW/Vlw=")</f>
        <v>#REF!</v>
      </c>
      <c r="CP35" t="e">
        <f>AND(#REF!,"AAAAAEW/Vl0=")</f>
        <v>#REF!</v>
      </c>
      <c r="CQ35" t="e">
        <f>AND(#REF!,"AAAAAEW/Vl4=")</f>
        <v>#REF!</v>
      </c>
      <c r="CR35" t="e">
        <f>AND(#REF!,"AAAAAEW/Vl8=")</f>
        <v>#REF!</v>
      </c>
      <c r="CS35" t="e">
        <f>AND(#REF!,"AAAAAEW/VmA=")</f>
        <v>#REF!</v>
      </c>
      <c r="CT35" t="e">
        <f>AND(#REF!,"AAAAAEW/VmE=")</f>
        <v>#REF!</v>
      </c>
      <c r="CU35" t="e">
        <f>AND(#REF!,"AAAAAEW/VmI=")</f>
        <v>#REF!</v>
      </c>
      <c r="CV35" t="e">
        <f>AND(#REF!,"AAAAAEW/VmM=")</f>
        <v>#REF!</v>
      </c>
      <c r="CW35" t="e">
        <f>AND(#REF!,"AAAAAEW/VmQ=")</f>
        <v>#REF!</v>
      </c>
      <c r="CX35" t="e">
        <f>AND(#REF!,"AAAAAEW/VmU=")</f>
        <v>#REF!</v>
      </c>
      <c r="CY35" t="e">
        <f>AND(#REF!,"AAAAAEW/VmY=")</f>
        <v>#REF!</v>
      </c>
      <c r="CZ35" t="e">
        <f>AND(#REF!,"AAAAAEW/Vmc=")</f>
        <v>#REF!</v>
      </c>
      <c r="DA35" t="e">
        <f>AND(#REF!,"AAAAAEW/Vmg=")</f>
        <v>#REF!</v>
      </c>
      <c r="DB35" t="e">
        <f>AND(#REF!,"AAAAAEW/Vmk=")</f>
        <v>#REF!</v>
      </c>
      <c r="DC35" t="e">
        <f>AND(#REF!,"AAAAAEW/Vmo=")</f>
        <v>#REF!</v>
      </c>
      <c r="DD35" t="e">
        <f>AND(#REF!,"AAAAAEW/Vms=")</f>
        <v>#REF!</v>
      </c>
      <c r="DE35" t="e">
        <f>IF(#REF!,"AAAAAEW/Vmw=",0)</f>
        <v>#REF!</v>
      </c>
      <c r="DF35" t="e">
        <f>AND(#REF!,"AAAAAEW/Vm0=")</f>
        <v>#REF!</v>
      </c>
      <c r="DG35" t="e">
        <f>AND(#REF!,"AAAAAEW/Vm4=")</f>
        <v>#REF!</v>
      </c>
      <c r="DH35" t="e">
        <f>AND(#REF!,"AAAAAEW/Vm8=")</f>
        <v>#REF!</v>
      </c>
      <c r="DI35" t="e">
        <f>AND(#REF!,"AAAAAEW/VnA=")</f>
        <v>#REF!</v>
      </c>
      <c r="DJ35" t="e">
        <f>AND(#REF!,"AAAAAEW/VnE=")</f>
        <v>#REF!</v>
      </c>
      <c r="DK35" t="e">
        <f>AND(#REF!,"AAAAAEW/VnI=")</f>
        <v>#REF!</v>
      </c>
      <c r="DL35" t="e">
        <f>AND(#REF!,"AAAAAEW/VnM=")</f>
        <v>#REF!</v>
      </c>
      <c r="DM35" t="e">
        <f>AND(#REF!,"AAAAAEW/VnQ=")</f>
        <v>#REF!</v>
      </c>
      <c r="DN35" t="e">
        <f>AND(#REF!,"AAAAAEW/VnU=")</f>
        <v>#REF!</v>
      </c>
      <c r="DO35" t="e">
        <f>AND(#REF!,"AAAAAEW/VnY=")</f>
        <v>#REF!</v>
      </c>
      <c r="DP35" t="e">
        <f>AND(#REF!,"AAAAAEW/Vnc=")</f>
        <v>#REF!</v>
      </c>
      <c r="DQ35" t="e">
        <f>AND(#REF!,"AAAAAEW/Vng=")</f>
        <v>#REF!</v>
      </c>
      <c r="DR35" t="e">
        <f>AND(#REF!,"AAAAAEW/Vnk=")</f>
        <v>#REF!</v>
      </c>
      <c r="DS35" t="e">
        <f>AND(#REF!,"AAAAAEW/Vno=")</f>
        <v>#REF!</v>
      </c>
      <c r="DT35" t="e">
        <f>AND(#REF!,"AAAAAEW/Vns=")</f>
        <v>#REF!</v>
      </c>
      <c r="DU35" t="e">
        <f>AND(#REF!,"AAAAAEW/Vnw=")</f>
        <v>#REF!</v>
      </c>
      <c r="DV35" t="e">
        <f>AND(#REF!,"AAAAAEW/Vn0=")</f>
        <v>#REF!</v>
      </c>
      <c r="DW35" t="e">
        <f>AND(#REF!,"AAAAAEW/Vn4=")</f>
        <v>#REF!</v>
      </c>
      <c r="DX35" t="e">
        <f>IF(#REF!,"AAAAAEW/Vn8=",0)</f>
        <v>#REF!</v>
      </c>
      <c r="DY35" t="e">
        <f>AND(#REF!,"AAAAAEW/VoA=")</f>
        <v>#REF!</v>
      </c>
      <c r="DZ35" t="e">
        <f>AND(#REF!,"AAAAAEW/VoE=")</f>
        <v>#REF!</v>
      </c>
      <c r="EA35" t="e">
        <f>AND(#REF!,"AAAAAEW/VoI=")</f>
        <v>#REF!</v>
      </c>
      <c r="EB35" t="e">
        <f>AND(#REF!,"AAAAAEW/VoM=")</f>
        <v>#REF!</v>
      </c>
      <c r="EC35" t="e">
        <f>AND(#REF!,"AAAAAEW/VoQ=")</f>
        <v>#REF!</v>
      </c>
      <c r="ED35" t="e">
        <f>AND(#REF!,"AAAAAEW/VoU=")</f>
        <v>#REF!</v>
      </c>
      <c r="EE35" t="e">
        <f>AND(#REF!,"AAAAAEW/VoY=")</f>
        <v>#REF!</v>
      </c>
      <c r="EF35" t="e">
        <f>AND(#REF!,"AAAAAEW/Voc=")</f>
        <v>#REF!</v>
      </c>
      <c r="EG35" t="e">
        <f>AND(#REF!,"AAAAAEW/Vog=")</f>
        <v>#REF!</v>
      </c>
      <c r="EH35" t="e">
        <f>AND(#REF!,"AAAAAEW/Vok=")</f>
        <v>#REF!</v>
      </c>
      <c r="EI35" t="e">
        <f>AND(#REF!,"AAAAAEW/Voo=")</f>
        <v>#REF!</v>
      </c>
      <c r="EJ35" t="e">
        <f>AND(#REF!,"AAAAAEW/Vos=")</f>
        <v>#REF!</v>
      </c>
      <c r="EK35" t="e">
        <f>AND(#REF!,"AAAAAEW/Vow=")</f>
        <v>#REF!</v>
      </c>
      <c r="EL35" t="e">
        <f>AND(#REF!,"AAAAAEW/Vo0=")</f>
        <v>#REF!</v>
      </c>
      <c r="EM35" t="e">
        <f>AND(#REF!,"AAAAAEW/Vo4=")</f>
        <v>#REF!</v>
      </c>
      <c r="EN35" t="e">
        <f>AND(#REF!,"AAAAAEW/Vo8=")</f>
        <v>#REF!</v>
      </c>
      <c r="EO35" t="e">
        <f>AND(#REF!,"AAAAAEW/VpA=")</f>
        <v>#REF!</v>
      </c>
      <c r="EP35" t="e">
        <f>AND(#REF!,"AAAAAEW/VpE=")</f>
        <v>#REF!</v>
      </c>
      <c r="EQ35" t="e">
        <f>IF(#REF!,"AAAAAEW/VpI=",0)</f>
        <v>#REF!</v>
      </c>
      <c r="ER35" t="e">
        <f>AND(#REF!,"AAAAAEW/VpM=")</f>
        <v>#REF!</v>
      </c>
      <c r="ES35" t="e">
        <f>AND(#REF!,"AAAAAEW/VpQ=")</f>
        <v>#REF!</v>
      </c>
      <c r="ET35" t="e">
        <f>AND(#REF!,"AAAAAEW/VpU=")</f>
        <v>#REF!</v>
      </c>
      <c r="EU35" t="e">
        <f>AND(#REF!,"AAAAAEW/VpY=")</f>
        <v>#REF!</v>
      </c>
      <c r="EV35" t="e">
        <f>AND(#REF!,"AAAAAEW/Vpc=")</f>
        <v>#REF!</v>
      </c>
      <c r="EW35" t="e">
        <f>AND(#REF!,"AAAAAEW/Vpg=")</f>
        <v>#REF!</v>
      </c>
      <c r="EX35" t="e">
        <f>AND(#REF!,"AAAAAEW/Vpk=")</f>
        <v>#REF!</v>
      </c>
      <c r="EY35" t="e">
        <f>AND(#REF!,"AAAAAEW/Vpo=")</f>
        <v>#REF!</v>
      </c>
      <c r="EZ35" t="e">
        <f>AND(#REF!,"AAAAAEW/Vps=")</f>
        <v>#REF!</v>
      </c>
      <c r="FA35" t="e">
        <f>AND(#REF!,"AAAAAEW/Vpw=")</f>
        <v>#REF!</v>
      </c>
      <c r="FB35" t="e">
        <f>AND(#REF!,"AAAAAEW/Vp0=")</f>
        <v>#REF!</v>
      </c>
      <c r="FC35" t="e">
        <f>AND(#REF!,"AAAAAEW/Vp4=")</f>
        <v>#REF!</v>
      </c>
      <c r="FD35" t="e">
        <f>AND(#REF!,"AAAAAEW/Vp8=")</f>
        <v>#REF!</v>
      </c>
      <c r="FE35" t="e">
        <f>AND(#REF!,"AAAAAEW/VqA=")</f>
        <v>#REF!</v>
      </c>
      <c r="FF35" t="e">
        <f>AND(#REF!,"AAAAAEW/VqE=")</f>
        <v>#REF!</v>
      </c>
      <c r="FG35" t="e">
        <f>AND(#REF!,"AAAAAEW/VqI=")</f>
        <v>#REF!</v>
      </c>
      <c r="FH35" t="e">
        <f>AND(#REF!,"AAAAAEW/VqM=")</f>
        <v>#REF!</v>
      </c>
      <c r="FI35" t="e">
        <f>AND(#REF!,"AAAAAEW/VqQ=")</f>
        <v>#REF!</v>
      </c>
      <c r="FJ35" t="e">
        <f>IF(#REF!,"AAAAAEW/VqU=",0)</f>
        <v>#REF!</v>
      </c>
      <c r="FK35" t="e">
        <f>AND(#REF!,"AAAAAEW/VqY=")</f>
        <v>#REF!</v>
      </c>
      <c r="FL35" t="e">
        <f>AND(#REF!,"AAAAAEW/Vqc=")</f>
        <v>#REF!</v>
      </c>
      <c r="FM35" t="e">
        <f>AND(#REF!,"AAAAAEW/Vqg=")</f>
        <v>#REF!</v>
      </c>
      <c r="FN35" t="e">
        <f>AND(#REF!,"AAAAAEW/Vqk=")</f>
        <v>#REF!</v>
      </c>
      <c r="FO35" t="e">
        <f>AND(#REF!,"AAAAAEW/Vqo=")</f>
        <v>#REF!</v>
      </c>
      <c r="FP35" t="e">
        <f>AND(#REF!,"AAAAAEW/Vqs=")</f>
        <v>#REF!</v>
      </c>
      <c r="FQ35" t="e">
        <f>AND(#REF!,"AAAAAEW/Vqw=")</f>
        <v>#REF!</v>
      </c>
      <c r="FR35" t="e">
        <f>AND(#REF!,"AAAAAEW/Vq0=")</f>
        <v>#REF!</v>
      </c>
      <c r="FS35" t="e">
        <f>AND(#REF!,"AAAAAEW/Vq4=")</f>
        <v>#REF!</v>
      </c>
      <c r="FT35" t="e">
        <f>AND(#REF!,"AAAAAEW/Vq8=")</f>
        <v>#REF!</v>
      </c>
      <c r="FU35" t="e">
        <f>AND(#REF!,"AAAAAEW/VrA=")</f>
        <v>#REF!</v>
      </c>
      <c r="FV35" t="e">
        <f>AND(#REF!,"AAAAAEW/VrE=")</f>
        <v>#REF!</v>
      </c>
      <c r="FW35" t="e">
        <f>AND(#REF!,"AAAAAEW/VrI=")</f>
        <v>#REF!</v>
      </c>
      <c r="FX35" t="e">
        <f>AND(#REF!,"AAAAAEW/VrM=")</f>
        <v>#REF!</v>
      </c>
      <c r="FY35" t="e">
        <f>AND(#REF!,"AAAAAEW/VrQ=")</f>
        <v>#REF!</v>
      </c>
      <c r="FZ35" t="e">
        <f>AND(#REF!,"AAAAAEW/VrU=")</f>
        <v>#REF!</v>
      </c>
      <c r="GA35" t="e">
        <f>AND(#REF!,"AAAAAEW/VrY=")</f>
        <v>#REF!</v>
      </c>
      <c r="GB35" t="e">
        <f>AND(#REF!,"AAAAAEW/Vrc=")</f>
        <v>#REF!</v>
      </c>
      <c r="GC35" t="e">
        <f>IF(#REF!,"AAAAAEW/Vrg=",0)</f>
        <v>#REF!</v>
      </c>
      <c r="GD35" t="e">
        <f>AND(#REF!,"AAAAAEW/Vrk=")</f>
        <v>#REF!</v>
      </c>
      <c r="GE35" t="e">
        <f>AND(#REF!,"AAAAAEW/Vro=")</f>
        <v>#REF!</v>
      </c>
      <c r="GF35" t="e">
        <f>AND(#REF!,"AAAAAEW/Vrs=")</f>
        <v>#REF!</v>
      </c>
      <c r="GG35" t="e">
        <f>AND(#REF!,"AAAAAEW/Vrw=")</f>
        <v>#REF!</v>
      </c>
      <c r="GH35" t="e">
        <f>AND(#REF!,"AAAAAEW/Vr0=")</f>
        <v>#REF!</v>
      </c>
      <c r="GI35" t="e">
        <f>AND(#REF!,"AAAAAEW/Vr4=")</f>
        <v>#REF!</v>
      </c>
      <c r="GJ35" t="e">
        <f>AND(#REF!,"AAAAAEW/Vr8=")</f>
        <v>#REF!</v>
      </c>
      <c r="GK35" t="e">
        <f>AND(#REF!,"AAAAAEW/VsA=")</f>
        <v>#REF!</v>
      </c>
      <c r="GL35" t="e">
        <f>AND(#REF!,"AAAAAEW/VsE=")</f>
        <v>#REF!</v>
      </c>
      <c r="GM35" t="e">
        <f>AND(#REF!,"AAAAAEW/VsI=")</f>
        <v>#REF!</v>
      </c>
      <c r="GN35" t="e">
        <f>AND(#REF!,"AAAAAEW/VsM=")</f>
        <v>#REF!</v>
      </c>
      <c r="GO35" t="e">
        <f>AND(#REF!,"AAAAAEW/VsQ=")</f>
        <v>#REF!</v>
      </c>
      <c r="GP35" t="e">
        <f>AND(#REF!,"AAAAAEW/VsU=")</f>
        <v>#REF!</v>
      </c>
      <c r="GQ35" t="e">
        <f>AND(#REF!,"AAAAAEW/VsY=")</f>
        <v>#REF!</v>
      </c>
      <c r="GR35" t="e">
        <f>AND(#REF!,"AAAAAEW/Vsc=")</f>
        <v>#REF!</v>
      </c>
      <c r="GS35" t="e">
        <f>AND(#REF!,"AAAAAEW/Vsg=")</f>
        <v>#REF!</v>
      </c>
      <c r="GT35" t="e">
        <f>AND(#REF!,"AAAAAEW/Vsk=")</f>
        <v>#REF!</v>
      </c>
      <c r="GU35" t="e">
        <f>AND(#REF!,"AAAAAEW/Vso=")</f>
        <v>#REF!</v>
      </c>
      <c r="GV35" t="e">
        <f>IF(#REF!,"AAAAAEW/Vss=",0)</f>
        <v>#REF!</v>
      </c>
      <c r="GW35" t="e">
        <f>AND(#REF!,"AAAAAEW/Vsw=")</f>
        <v>#REF!</v>
      </c>
      <c r="GX35" t="e">
        <f>AND(#REF!,"AAAAAEW/Vs0=")</f>
        <v>#REF!</v>
      </c>
      <c r="GY35" t="e">
        <f>AND(#REF!,"AAAAAEW/Vs4=")</f>
        <v>#REF!</v>
      </c>
      <c r="GZ35" t="e">
        <f>AND(#REF!,"AAAAAEW/Vs8=")</f>
        <v>#REF!</v>
      </c>
      <c r="HA35" t="e">
        <f>AND(#REF!,"AAAAAEW/VtA=")</f>
        <v>#REF!</v>
      </c>
      <c r="HB35" t="e">
        <f>AND(#REF!,"AAAAAEW/VtE=")</f>
        <v>#REF!</v>
      </c>
      <c r="HC35" t="e">
        <f>AND(#REF!,"AAAAAEW/VtI=")</f>
        <v>#REF!</v>
      </c>
      <c r="HD35" t="e">
        <f>AND(#REF!,"AAAAAEW/VtM=")</f>
        <v>#REF!</v>
      </c>
      <c r="HE35" t="e">
        <f>AND(#REF!,"AAAAAEW/VtQ=")</f>
        <v>#REF!</v>
      </c>
      <c r="HF35" t="e">
        <f>AND(#REF!,"AAAAAEW/VtU=")</f>
        <v>#REF!</v>
      </c>
      <c r="HG35" t="e">
        <f>AND(#REF!,"AAAAAEW/VtY=")</f>
        <v>#REF!</v>
      </c>
      <c r="HH35" t="e">
        <f>AND(#REF!,"AAAAAEW/Vtc=")</f>
        <v>#REF!</v>
      </c>
      <c r="HI35" t="e">
        <f>AND(#REF!,"AAAAAEW/Vtg=")</f>
        <v>#REF!</v>
      </c>
      <c r="HJ35" t="e">
        <f>AND(#REF!,"AAAAAEW/Vtk=")</f>
        <v>#REF!</v>
      </c>
      <c r="HK35" t="e">
        <f>AND(#REF!,"AAAAAEW/Vto=")</f>
        <v>#REF!</v>
      </c>
      <c r="HL35" t="e">
        <f>AND(#REF!,"AAAAAEW/Vts=")</f>
        <v>#REF!</v>
      </c>
      <c r="HM35" t="e">
        <f>AND(#REF!,"AAAAAEW/Vtw=")</f>
        <v>#REF!</v>
      </c>
      <c r="HN35" t="e">
        <f>AND(#REF!,"AAAAAEW/Vt0=")</f>
        <v>#REF!</v>
      </c>
      <c r="HO35" t="e">
        <f>IF(#REF!,"AAAAAEW/Vt4=",0)</f>
        <v>#REF!</v>
      </c>
      <c r="HP35" t="e">
        <f>AND(#REF!,"AAAAAEW/Vt8=")</f>
        <v>#REF!</v>
      </c>
      <c r="HQ35" t="e">
        <f>AND(#REF!,"AAAAAEW/VuA=")</f>
        <v>#REF!</v>
      </c>
      <c r="HR35" t="e">
        <f>AND(#REF!,"AAAAAEW/VuE=")</f>
        <v>#REF!</v>
      </c>
      <c r="HS35" t="e">
        <f>AND(#REF!,"AAAAAEW/VuI=")</f>
        <v>#REF!</v>
      </c>
      <c r="HT35" t="e">
        <f>AND(#REF!,"AAAAAEW/VuM=")</f>
        <v>#REF!</v>
      </c>
      <c r="HU35" t="e">
        <f>AND(#REF!,"AAAAAEW/VuQ=")</f>
        <v>#REF!</v>
      </c>
      <c r="HV35" t="e">
        <f>AND(#REF!,"AAAAAEW/VuU=")</f>
        <v>#REF!</v>
      </c>
      <c r="HW35" t="e">
        <f>AND(#REF!,"AAAAAEW/VuY=")</f>
        <v>#REF!</v>
      </c>
      <c r="HX35" t="e">
        <f>AND(#REF!,"AAAAAEW/Vuc=")</f>
        <v>#REF!</v>
      </c>
      <c r="HY35" t="e">
        <f>AND(#REF!,"AAAAAEW/Vug=")</f>
        <v>#REF!</v>
      </c>
      <c r="HZ35" t="e">
        <f>AND(#REF!,"AAAAAEW/Vuk=")</f>
        <v>#REF!</v>
      </c>
      <c r="IA35" t="e">
        <f>AND(#REF!,"AAAAAEW/Vuo=")</f>
        <v>#REF!</v>
      </c>
      <c r="IB35" t="e">
        <f>AND(#REF!,"AAAAAEW/Vus=")</f>
        <v>#REF!</v>
      </c>
      <c r="IC35" t="e">
        <f>AND(#REF!,"AAAAAEW/Vuw=")</f>
        <v>#REF!</v>
      </c>
      <c r="ID35" t="e">
        <f>AND(#REF!,"AAAAAEW/Vu0=")</f>
        <v>#REF!</v>
      </c>
      <c r="IE35" t="e">
        <f>AND(#REF!,"AAAAAEW/Vu4=")</f>
        <v>#REF!</v>
      </c>
      <c r="IF35" t="e">
        <f>AND(#REF!,"AAAAAEW/Vu8=")</f>
        <v>#REF!</v>
      </c>
      <c r="IG35" t="e">
        <f>AND(#REF!,"AAAAAEW/VvA=")</f>
        <v>#REF!</v>
      </c>
      <c r="IH35" t="e">
        <f>IF(#REF!,"AAAAAEW/VvE=",0)</f>
        <v>#REF!</v>
      </c>
      <c r="II35" t="e">
        <f>AND(#REF!,"AAAAAEW/VvI=")</f>
        <v>#REF!</v>
      </c>
      <c r="IJ35" t="e">
        <f>AND(#REF!,"AAAAAEW/VvM=")</f>
        <v>#REF!</v>
      </c>
      <c r="IK35" t="e">
        <f>AND(#REF!,"AAAAAEW/VvQ=")</f>
        <v>#REF!</v>
      </c>
      <c r="IL35" t="e">
        <f>AND(#REF!,"AAAAAEW/VvU=")</f>
        <v>#REF!</v>
      </c>
      <c r="IM35" t="e">
        <f>AND(#REF!,"AAAAAEW/VvY=")</f>
        <v>#REF!</v>
      </c>
      <c r="IN35" t="e">
        <f>AND(#REF!,"AAAAAEW/Vvc=")</f>
        <v>#REF!</v>
      </c>
      <c r="IO35" t="e">
        <f>AND(#REF!,"AAAAAEW/Vvg=")</f>
        <v>#REF!</v>
      </c>
      <c r="IP35" t="e">
        <f>AND(#REF!,"AAAAAEW/Vvk=")</f>
        <v>#REF!</v>
      </c>
      <c r="IQ35" t="e">
        <f>AND(#REF!,"AAAAAEW/Vvo=")</f>
        <v>#REF!</v>
      </c>
      <c r="IR35" t="e">
        <f>AND(#REF!,"AAAAAEW/Vvs=")</f>
        <v>#REF!</v>
      </c>
      <c r="IS35" t="e">
        <f>AND(#REF!,"AAAAAEW/Vvw=")</f>
        <v>#REF!</v>
      </c>
      <c r="IT35" t="e">
        <f>AND(#REF!,"AAAAAEW/Vv0=")</f>
        <v>#REF!</v>
      </c>
      <c r="IU35" t="e">
        <f>AND(#REF!,"AAAAAEW/Vv4=")</f>
        <v>#REF!</v>
      </c>
      <c r="IV35" t="e">
        <f>AND(#REF!,"AAAAAEW/Vv8=")</f>
        <v>#REF!</v>
      </c>
    </row>
    <row r="36" spans="1:256" x14ac:dyDescent="0.15">
      <c r="A36" t="e">
        <f>AND(#REF!,"AAAAADfY9wA=")</f>
        <v>#REF!</v>
      </c>
      <c r="B36" t="e">
        <f>AND(#REF!,"AAAAADfY9wE=")</f>
        <v>#REF!</v>
      </c>
      <c r="C36" t="e">
        <f>AND(#REF!,"AAAAADfY9wI=")</f>
        <v>#REF!</v>
      </c>
      <c r="D36" t="e">
        <f>AND(#REF!,"AAAAADfY9wM=")</f>
        <v>#REF!</v>
      </c>
      <c r="E36" t="e">
        <f>IF(#REF!,"AAAAADfY9wQ=",0)</f>
        <v>#REF!</v>
      </c>
      <c r="F36" t="e">
        <f>AND(#REF!,"AAAAADfY9wU=")</f>
        <v>#REF!</v>
      </c>
      <c r="G36" t="e">
        <f>AND(#REF!,"AAAAADfY9wY=")</f>
        <v>#REF!</v>
      </c>
      <c r="H36" t="e">
        <f>AND(#REF!,"AAAAADfY9wc=")</f>
        <v>#REF!</v>
      </c>
      <c r="I36" t="e">
        <f>AND(#REF!,"AAAAADfY9wg=")</f>
        <v>#REF!</v>
      </c>
      <c r="J36" t="e">
        <f>AND(#REF!,"AAAAADfY9wk=")</f>
        <v>#REF!</v>
      </c>
      <c r="K36" t="e">
        <f>AND(#REF!,"AAAAADfY9wo=")</f>
        <v>#REF!</v>
      </c>
      <c r="L36" t="e">
        <f>AND(#REF!,"AAAAADfY9ws=")</f>
        <v>#REF!</v>
      </c>
      <c r="M36" t="e">
        <f>AND(#REF!,"AAAAADfY9ww=")</f>
        <v>#REF!</v>
      </c>
      <c r="N36" t="e">
        <f>AND(#REF!,"AAAAADfY9w0=")</f>
        <v>#REF!</v>
      </c>
      <c r="O36" t="e">
        <f>AND(#REF!,"AAAAADfY9w4=")</f>
        <v>#REF!</v>
      </c>
      <c r="P36" t="e">
        <f>AND(#REF!,"AAAAADfY9w8=")</f>
        <v>#REF!</v>
      </c>
      <c r="Q36" t="e">
        <f>AND(#REF!,"AAAAADfY9xA=")</f>
        <v>#REF!</v>
      </c>
      <c r="R36" t="e">
        <f>AND(#REF!,"AAAAADfY9xE=")</f>
        <v>#REF!</v>
      </c>
      <c r="S36" t="e">
        <f>AND(#REF!,"AAAAADfY9xI=")</f>
        <v>#REF!</v>
      </c>
      <c r="T36" t="e">
        <f>AND(#REF!,"AAAAADfY9xM=")</f>
        <v>#REF!</v>
      </c>
      <c r="U36" t="e">
        <f>AND(#REF!,"AAAAADfY9xQ=")</f>
        <v>#REF!</v>
      </c>
      <c r="V36" t="e">
        <f>AND(#REF!,"AAAAADfY9xU=")</f>
        <v>#REF!</v>
      </c>
      <c r="W36" t="e">
        <f>AND(#REF!,"AAAAADfY9xY=")</f>
        <v>#REF!</v>
      </c>
      <c r="X36" t="e">
        <f>IF(#REF!,"AAAAADfY9xc=",0)</f>
        <v>#REF!</v>
      </c>
      <c r="Y36" t="e">
        <f>AND(#REF!,"AAAAADfY9xg=")</f>
        <v>#REF!</v>
      </c>
      <c r="Z36" t="e">
        <f>AND(#REF!,"AAAAADfY9xk=")</f>
        <v>#REF!</v>
      </c>
      <c r="AA36" t="e">
        <f>AND(#REF!,"AAAAADfY9xo=")</f>
        <v>#REF!</v>
      </c>
      <c r="AB36" t="e">
        <f>AND(#REF!,"AAAAADfY9xs=")</f>
        <v>#REF!</v>
      </c>
      <c r="AC36" t="e">
        <f>AND(#REF!,"AAAAADfY9xw=")</f>
        <v>#REF!</v>
      </c>
      <c r="AD36" t="e">
        <f>AND(#REF!,"AAAAADfY9x0=")</f>
        <v>#REF!</v>
      </c>
      <c r="AE36" t="e">
        <f>AND(#REF!,"AAAAADfY9x4=")</f>
        <v>#REF!</v>
      </c>
      <c r="AF36" t="e">
        <f>AND(#REF!,"AAAAADfY9x8=")</f>
        <v>#REF!</v>
      </c>
      <c r="AG36" t="e">
        <f>AND(#REF!,"AAAAADfY9yA=")</f>
        <v>#REF!</v>
      </c>
      <c r="AH36" t="e">
        <f>AND(#REF!,"AAAAADfY9yE=")</f>
        <v>#REF!</v>
      </c>
      <c r="AI36" t="e">
        <f>AND(#REF!,"AAAAADfY9yI=")</f>
        <v>#REF!</v>
      </c>
      <c r="AJ36" t="e">
        <f>AND(#REF!,"AAAAADfY9yM=")</f>
        <v>#REF!</v>
      </c>
      <c r="AK36" t="e">
        <f>AND(#REF!,"AAAAADfY9yQ=")</f>
        <v>#REF!</v>
      </c>
      <c r="AL36" t="e">
        <f>AND(#REF!,"AAAAADfY9yU=")</f>
        <v>#REF!</v>
      </c>
      <c r="AM36" t="e">
        <f>AND(#REF!,"AAAAADfY9yY=")</f>
        <v>#REF!</v>
      </c>
      <c r="AN36" t="e">
        <f>AND(#REF!,"AAAAADfY9yc=")</f>
        <v>#REF!</v>
      </c>
      <c r="AO36" t="e">
        <f>AND(#REF!,"AAAAADfY9yg=")</f>
        <v>#REF!</v>
      </c>
      <c r="AP36" t="e">
        <f>AND(#REF!,"AAAAADfY9yk=")</f>
        <v>#REF!</v>
      </c>
      <c r="AQ36" t="e">
        <f>IF(#REF!,"AAAAADfY9yo=",0)</f>
        <v>#REF!</v>
      </c>
      <c r="AR36" t="e">
        <f>AND(#REF!,"AAAAADfY9ys=")</f>
        <v>#REF!</v>
      </c>
      <c r="AS36" t="e">
        <f>AND(#REF!,"AAAAADfY9yw=")</f>
        <v>#REF!</v>
      </c>
      <c r="AT36" t="e">
        <f>AND(#REF!,"AAAAADfY9y0=")</f>
        <v>#REF!</v>
      </c>
      <c r="AU36" t="e">
        <f>AND(#REF!,"AAAAADfY9y4=")</f>
        <v>#REF!</v>
      </c>
      <c r="AV36" t="e">
        <f>AND(#REF!,"AAAAADfY9y8=")</f>
        <v>#REF!</v>
      </c>
      <c r="AW36" t="e">
        <f>AND(#REF!,"AAAAADfY9zA=")</f>
        <v>#REF!</v>
      </c>
      <c r="AX36" t="e">
        <f>AND(#REF!,"AAAAADfY9zE=")</f>
        <v>#REF!</v>
      </c>
      <c r="AY36" t="e">
        <f>AND(#REF!,"AAAAADfY9zI=")</f>
        <v>#REF!</v>
      </c>
      <c r="AZ36" t="e">
        <f>AND(#REF!,"AAAAADfY9zM=")</f>
        <v>#REF!</v>
      </c>
      <c r="BA36" t="e">
        <f>AND(#REF!,"AAAAADfY9zQ=")</f>
        <v>#REF!</v>
      </c>
      <c r="BB36" t="e">
        <f>AND(#REF!,"AAAAADfY9zU=")</f>
        <v>#REF!</v>
      </c>
      <c r="BC36" t="e">
        <f>AND(#REF!,"AAAAADfY9zY=")</f>
        <v>#REF!</v>
      </c>
      <c r="BD36" t="e">
        <f>AND(#REF!,"AAAAADfY9zc=")</f>
        <v>#REF!</v>
      </c>
      <c r="BE36" t="e">
        <f>AND(#REF!,"AAAAADfY9zg=")</f>
        <v>#REF!</v>
      </c>
      <c r="BF36" t="e">
        <f>AND(#REF!,"AAAAADfY9zk=")</f>
        <v>#REF!</v>
      </c>
      <c r="BG36" t="e">
        <f>AND(#REF!,"AAAAADfY9zo=")</f>
        <v>#REF!</v>
      </c>
      <c r="BH36" t="e">
        <f>AND(#REF!,"AAAAADfY9zs=")</f>
        <v>#REF!</v>
      </c>
      <c r="BI36" t="e">
        <f>AND(#REF!,"AAAAADfY9zw=")</f>
        <v>#REF!</v>
      </c>
      <c r="BJ36" t="e">
        <f>IF(#REF!,"AAAAADfY9z0=",0)</f>
        <v>#REF!</v>
      </c>
      <c r="BK36" t="e">
        <f>AND(#REF!,"AAAAADfY9z4=")</f>
        <v>#REF!</v>
      </c>
      <c r="BL36" t="e">
        <f>AND(#REF!,"AAAAADfY9z8=")</f>
        <v>#REF!</v>
      </c>
      <c r="BM36" t="e">
        <f>AND(#REF!,"AAAAADfY90A=")</f>
        <v>#REF!</v>
      </c>
      <c r="BN36" t="e">
        <f>AND(#REF!,"AAAAADfY90E=")</f>
        <v>#REF!</v>
      </c>
      <c r="BO36" t="e">
        <f>AND(#REF!,"AAAAADfY90I=")</f>
        <v>#REF!</v>
      </c>
      <c r="BP36" t="e">
        <f>AND(#REF!,"AAAAADfY90M=")</f>
        <v>#REF!</v>
      </c>
      <c r="BQ36" t="e">
        <f>AND(#REF!,"AAAAADfY90Q=")</f>
        <v>#REF!</v>
      </c>
      <c r="BR36" t="e">
        <f>AND(#REF!,"AAAAADfY90U=")</f>
        <v>#REF!</v>
      </c>
      <c r="BS36" t="e">
        <f>AND(#REF!,"AAAAADfY90Y=")</f>
        <v>#REF!</v>
      </c>
      <c r="BT36" t="e">
        <f>AND(#REF!,"AAAAADfY90c=")</f>
        <v>#REF!</v>
      </c>
      <c r="BU36" t="e">
        <f>AND(#REF!,"AAAAADfY90g=")</f>
        <v>#REF!</v>
      </c>
      <c r="BV36" t="e">
        <f>AND(#REF!,"AAAAADfY90k=")</f>
        <v>#REF!</v>
      </c>
      <c r="BW36" t="e">
        <f>AND(#REF!,"AAAAADfY90o=")</f>
        <v>#REF!</v>
      </c>
      <c r="BX36" t="e">
        <f>AND(#REF!,"AAAAADfY90s=")</f>
        <v>#REF!</v>
      </c>
      <c r="BY36" t="e">
        <f>AND(#REF!,"AAAAADfY90w=")</f>
        <v>#REF!</v>
      </c>
      <c r="BZ36" t="e">
        <f>AND(#REF!,"AAAAADfY900=")</f>
        <v>#REF!</v>
      </c>
      <c r="CA36" t="e">
        <f>AND(#REF!,"AAAAADfY904=")</f>
        <v>#REF!</v>
      </c>
      <c r="CB36" t="e">
        <f>AND(#REF!,"AAAAADfY908=")</f>
        <v>#REF!</v>
      </c>
      <c r="CC36" t="e">
        <f>IF(#REF!,"AAAAADfY91A=",0)</f>
        <v>#REF!</v>
      </c>
      <c r="CD36" t="e">
        <f>AND(#REF!,"AAAAADfY91E=")</f>
        <v>#REF!</v>
      </c>
      <c r="CE36" t="e">
        <f>AND(#REF!,"AAAAADfY91I=")</f>
        <v>#REF!</v>
      </c>
      <c r="CF36" t="e">
        <f>AND(#REF!,"AAAAADfY91M=")</f>
        <v>#REF!</v>
      </c>
      <c r="CG36" t="e">
        <f>AND(#REF!,"AAAAADfY91Q=")</f>
        <v>#REF!</v>
      </c>
      <c r="CH36" t="e">
        <f>AND(#REF!,"AAAAADfY91U=")</f>
        <v>#REF!</v>
      </c>
      <c r="CI36" t="e">
        <f>AND(#REF!,"AAAAADfY91Y=")</f>
        <v>#REF!</v>
      </c>
      <c r="CJ36" t="e">
        <f>AND(#REF!,"AAAAADfY91c=")</f>
        <v>#REF!</v>
      </c>
      <c r="CK36" t="e">
        <f>AND(#REF!,"AAAAADfY91g=")</f>
        <v>#REF!</v>
      </c>
      <c r="CL36" t="e">
        <f>AND(#REF!,"AAAAADfY91k=")</f>
        <v>#REF!</v>
      </c>
      <c r="CM36" t="e">
        <f>AND(#REF!,"AAAAADfY91o=")</f>
        <v>#REF!</v>
      </c>
      <c r="CN36" t="e">
        <f>AND(#REF!,"AAAAADfY91s=")</f>
        <v>#REF!</v>
      </c>
      <c r="CO36" t="e">
        <f>AND(#REF!,"AAAAADfY91w=")</f>
        <v>#REF!</v>
      </c>
      <c r="CP36" t="e">
        <f>AND(#REF!,"AAAAADfY910=")</f>
        <v>#REF!</v>
      </c>
      <c r="CQ36" t="e">
        <f>AND(#REF!,"AAAAADfY914=")</f>
        <v>#REF!</v>
      </c>
      <c r="CR36" t="e">
        <f>AND(#REF!,"AAAAADfY918=")</f>
        <v>#REF!</v>
      </c>
      <c r="CS36" t="e">
        <f>AND(#REF!,"AAAAADfY92A=")</f>
        <v>#REF!</v>
      </c>
      <c r="CT36" t="e">
        <f>AND(#REF!,"AAAAADfY92E=")</f>
        <v>#REF!</v>
      </c>
      <c r="CU36" t="e">
        <f>AND(#REF!,"AAAAADfY92I=")</f>
        <v>#REF!</v>
      </c>
      <c r="CV36" t="e">
        <f>IF(#REF!,"AAAAADfY92M=",0)</f>
        <v>#REF!</v>
      </c>
      <c r="CW36" t="e">
        <f>AND(#REF!,"AAAAADfY92Q=")</f>
        <v>#REF!</v>
      </c>
      <c r="CX36" t="e">
        <f>AND(#REF!,"AAAAADfY92U=")</f>
        <v>#REF!</v>
      </c>
      <c r="CY36" t="e">
        <f>AND(#REF!,"AAAAADfY92Y=")</f>
        <v>#REF!</v>
      </c>
      <c r="CZ36" t="e">
        <f>AND(#REF!,"AAAAADfY92c=")</f>
        <v>#REF!</v>
      </c>
      <c r="DA36" t="e">
        <f>AND(#REF!,"AAAAADfY92g=")</f>
        <v>#REF!</v>
      </c>
      <c r="DB36" t="e">
        <f>AND(#REF!,"AAAAADfY92k=")</f>
        <v>#REF!</v>
      </c>
      <c r="DC36" t="e">
        <f>AND(#REF!,"AAAAADfY92o=")</f>
        <v>#REF!</v>
      </c>
      <c r="DD36" t="e">
        <f>AND(#REF!,"AAAAADfY92s=")</f>
        <v>#REF!</v>
      </c>
      <c r="DE36" t="e">
        <f>AND(#REF!,"AAAAADfY92w=")</f>
        <v>#REF!</v>
      </c>
      <c r="DF36" t="e">
        <f>AND(#REF!,"AAAAADfY920=")</f>
        <v>#REF!</v>
      </c>
      <c r="DG36" t="e">
        <f>AND(#REF!,"AAAAADfY924=")</f>
        <v>#REF!</v>
      </c>
      <c r="DH36" t="e">
        <f>AND(#REF!,"AAAAADfY928=")</f>
        <v>#REF!</v>
      </c>
      <c r="DI36" t="e">
        <f>AND(#REF!,"AAAAADfY93A=")</f>
        <v>#REF!</v>
      </c>
      <c r="DJ36" t="e">
        <f>AND(#REF!,"AAAAADfY93E=")</f>
        <v>#REF!</v>
      </c>
      <c r="DK36" t="e">
        <f>AND(#REF!,"AAAAADfY93I=")</f>
        <v>#REF!</v>
      </c>
      <c r="DL36" t="e">
        <f>AND(#REF!,"AAAAADfY93M=")</f>
        <v>#REF!</v>
      </c>
      <c r="DM36" t="e">
        <f>AND(#REF!,"AAAAADfY93Q=")</f>
        <v>#REF!</v>
      </c>
      <c r="DN36" t="e">
        <f>AND(#REF!,"AAAAADfY93U=")</f>
        <v>#REF!</v>
      </c>
      <c r="DO36" t="e">
        <f>IF(#REF!,"AAAAADfY93Y=",0)</f>
        <v>#REF!</v>
      </c>
      <c r="DP36" t="e">
        <f>AND(#REF!,"AAAAADfY93c=")</f>
        <v>#REF!</v>
      </c>
      <c r="DQ36" t="e">
        <f>AND(#REF!,"AAAAADfY93g=")</f>
        <v>#REF!</v>
      </c>
      <c r="DR36" t="e">
        <f>AND(#REF!,"AAAAADfY93k=")</f>
        <v>#REF!</v>
      </c>
      <c r="DS36" t="e">
        <f>AND(#REF!,"AAAAADfY93o=")</f>
        <v>#REF!</v>
      </c>
      <c r="DT36" t="e">
        <f>AND(#REF!,"AAAAADfY93s=")</f>
        <v>#REF!</v>
      </c>
      <c r="DU36" t="e">
        <f>AND(#REF!,"AAAAADfY93w=")</f>
        <v>#REF!</v>
      </c>
      <c r="DV36" t="e">
        <f>AND(#REF!,"AAAAADfY930=")</f>
        <v>#REF!</v>
      </c>
      <c r="DW36" t="e">
        <f>AND(#REF!,"AAAAADfY934=")</f>
        <v>#REF!</v>
      </c>
      <c r="DX36" t="e">
        <f>AND(#REF!,"AAAAADfY938=")</f>
        <v>#REF!</v>
      </c>
      <c r="DY36" t="e">
        <f>AND(#REF!,"AAAAADfY94A=")</f>
        <v>#REF!</v>
      </c>
      <c r="DZ36" t="e">
        <f>AND(#REF!,"AAAAADfY94E=")</f>
        <v>#REF!</v>
      </c>
      <c r="EA36" t="e">
        <f>AND(#REF!,"AAAAADfY94I=")</f>
        <v>#REF!</v>
      </c>
      <c r="EB36" t="e">
        <f>AND(#REF!,"AAAAADfY94M=")</f>
        <v>#REF!</v>
      </c>
      <c r="EC36" t="e">
        <f>AND(#REF!,"AAAAADfY94Q=")</f>
        <v>#REF!</v>
      </c>
      <c r="ED36" t="e">
        <f>AND(#REF!,"AAAAADfY94U=")</f>
        <v>#REF!</v>
      </c>
      <c r="EE36" t="e">
        <f>AND(#REF!,"AAAAADfY94Y=")</f>
        <v>#REF!</v>
      </c>
      <c r="EF36" t="e">
        <f>AND(#REF!,"AAAAADfY94c=")</f>
        <v>#REF!</v>
      </c>
      <c r="EG36" t="e">
        <f>AND(#REF!,"AAAAADfY94g=")</f>
        <v>#REF!</v>
      </c>
      <c r="EH36" t="e">
        <f>IF(#REF!,"AAAAADfY94k=",0)</f>
        <v>#REF!</v>
      </c>
      <c r="EI36" t="e">
        <f>AND(#REF!,"AAAAADfY94o=")</f>
        <v>#REF!</v>
      </c>
      <c r="EJ36" t="e">
        <f>AND(#REF!,"AAAAADfY94s=")</f>
        <v>#REF!</v>
      </c>
      <c r="EK36" t="e">
        <f>AND(#REF!,"AAAAADfY94w=")</f>
        <v>#REF!</v>
      </c>
      <c r="EL36" t="e">
        <f>AND(#REF!,"AAAAADfY940=")</f>
        <v>#REF!</v>
      </c>
      <c r="EM36" t="e">
        <f>AND(#REF!,"AAAAADfY944=")</f>
        <v>#REF!</v>
      </c>
      <c r="EN36" t="e">
        <f>AND(#REF!,"AAAAADfY948=")</f>
        <v>#REF!</v>
      </c>
      <c r="EO36" t="e">
        <f>AND(#REF!,"AAAAADfY95A=")</f>
        <v>#REF!</v>
      </c>
      <c r="EP36" t="e">
        <f>AND(#REF!,"AAAAADfY95E=")</f>
        <v>#REF!</v>
      </c>
      <c r="EQ36" t="e">
        <f>AND(#REF!,"AAAAADfY95I=")</f>
        <v>#REF!</v>
      </c>
      <c r="ER36" t="e">
        <f>AND(#REF!,"AAAAADfY95M=")</f>
        <v>#REF!</v>
      </c>
      <c r="ES36" t="e">
        <f>AND(#REF!,"AAAAADfY95Q=")</f>
        <v>#REF!</v>
      </c>
      <c r="ET36" t="e">
        <f>AND(#REF!,"AAAAADfY95U=")</f>
        <v>#REF!</v>
      </c>
      <c r="EU36" t="e">
        <f>AND(#REF!,"AAAAADfY95Y=")</f>
        <v>#REF!</v>
      </c>
      <c r="EV36" t="e">
        <f>AND(#REF!,"AAAAADfY95c=")</f>
        <v>#REF!</v>
      </c>
      <c r="EW36" t="e">
        <f>AND(#REF!,"AAAAADfY95g=")</f>
        <v>#REF!</v>
      </c>
      <c r="EX36" t="e">
        <f>AND(#REF!,"AAAAADfY95k=")</f>
        <v>#REF!</v>
      </c>
      <c r="EY36" t="e">
        <f>AND(#REF!,"AAAAADfY95o=")</f>
        <v>#REF!</v>
      </c>
      <c r="EZ36" t="e">
        <f>AND(#REF!,"AAAAADfY95s=")</f>
        <v>#REF!</v>
      </c>
      <c r="FA36" t="e">
        <f>IF(#REF!,"AAAAADfY95w=",0)</f>
        <v>#REF!</v>
      </c>
      <c r="FB36" t="e">
        <f>AND(#REF!,"AAAAADfY950=")</f>
        <v>#REF!</v>
      </c>
      <c r="FC36" t="e">
        <f>AND(#REF!,"AAAAADfY954=")</f>
        <v>#REF!</v>
      </c>
      <c r="FD36" t="e">
        <f>AND(#REF!,"AAAAADfY958=")</f>
        <v>#REF!</v>
      </c>
      <c r="FE36" t="e">
        <f>AND(#REF!,"AAAAADfY96A=")</f>
        <v>#REF!</v>
      </c>
      <c r="FF36" t="e">
        <f>AND(#REF!,"AAAAADfY96E=")</f>
        <v>#REF!</v>
      </c>
      <c r="FG36" t="e">
        <f>AND(#REF!,"AAAAADfY96I=")</f>
        <v>#REF!</v>
      </c>
      <c r="FH36" t="e">
        <f>AND(#REF!,"AAAAADfY96M=")</f>
        <v>#REF!</v>
      </c>
      <c r="FI36" t="e">
        <f>AND(#REF!,"AAAAADfY96Q=")</f>
        <v>#REF!</v>
      </c>
      <c r="FJ36" t="e">
        <f>AND(#REF!,"AAAAADfY96U=")</f>
        <v>#REF!</v>
      </c>
      <c r="FK36" t="e">
        <f>AND(#REF!,"AAAAADfY96Y=")</f>
        <v>#REF!</v>
      </c>
      <c r="FL36" t="e">
        <f>AND(#REF!,"AAAAADfY96c=")</f>
        <v>#REF!</v>
      </c>
      <c r="FM36" t="e">
        <f>AND(#REF!,"AAAAADfY96g=")</f>
        <v>#REF!</v>
      </c>
      <c r="FN36" t="e">
        <f>AND(#REF!,"AAAAADfY96k=")</f>
        <v>#REF!</v>
      </c>
      <c r="FO36" t="e">
        <f>AND(#REF!,"AAAAADfY96o=")</f>
        <v>#REF!</v>
      </c>
      <c r="FP36" t="e">
        <f>AND(#REF!,"AAAAADfY96s=")</f>
        <v>#REF!</v>
      </c>
      <c r="FQ36" t="e">
        <f>AND(#REF!,"AAAAADfY96w=")</f>
        <v>#REF!</v>
      </c>
      <c r="FR36" t="e">
        <f>AND(#REF!,"AAAAADfY960=")</f>
        <v>#REF!</v>
      </c>
      <c r="FS36" t="e">
        <f>AND(#REF!,"AAAAADfY964=")</f>
        <v>#REF!</v>
      </c>
      <c r="FT36" t="e">
        <f>IF(#REF!,"AAAAADfY968=",0)</f>
        <v>#REF!</v>
      </c>
      <c r="FU36" t="e">
        <f>AND(#REF!,"AAAAADfY97A=")</f>
        <v>#REF!</v>
      </c>
      <c r="FV36" t="e">
        <f>AND(#REF!,"AAAAADfY97E=")</f>
        <v>#REF!</v>
      </c>
      <c r="FW36" t="e">
        <f>AND(#REF!,"AAAAADfY97I=")</f>
        <v>#REF!</v>
      </c>
      <c r="FX36" t="e">
        <f>AND(#REF!,"AAAAADfY97M=")</f>
        <v>#REF!</v>
      </c>
      <c r="FY36" t="e">
        <f>AND(#REF!,"AAAAADfY97Q=")</f>
        <v>#REF!</v>
      </c>
      <c r="FZ36" t="e">
        <f>AND(#REF!,"AAAAADfY97U=")</f>
        <v>#REF!</v>
      </c>
      <c r="GA36" t="e">
        <f>AND(#REF!,"AAAAADfY97Y=")</f>
        <v>#REF!</v>
      </c>
      <c r="GB36" t="e">
        <f>AND(#REF!,"AAAAADfY97c=")</f>
        <v>#REF!</v>
      </c>
      <c r="GC36" t="e">
        <f>AND(#REF!,"AAAAADfY97g=")</f>
        <v>#REF!</v>
      </c>
      <c r="GD36" t="e">
        <f>AND(#REF!,"AAAAADfY97k=")</f>
        <v>#REF!</v>
      </c>
      <c r="GE36" t="e">
        <f>AND(#REF!,"AAAAADfY97o=")</f>
        <v>#REF!</v>
      </c>
      <c r="GF36" t="e">
        <f>AND(#REF!,"AAAAADfY97s=")</f>
        <v>#REF!</v>
      </c>
      <c r="GG36" t="e">
        <f>AND(#REF!,"AAAAADfY97w=")</f>
        <v>#REF!</v>
      </c>
      <c r="GH36" t="e">
        <f>AND(#REF!,"AAAAADfY970=")</f>
        <v>#REF!</v>
      </c>
      <c r="GI36" t="e">
        <f>AND(#REF!,"AAAAADfY974=")</f>
        <v>#REF!</v>
      </c>
      <c r="GJ36" t="e">
        <f>AND(#REF!,"AAAAADfY978=")</f>
        <v>#REF!</v>
      </c>
      <c r="GK36" t="e">
        <f>AND(#REF!,"AAAAADfY98A=")</f>
        <v>#REF!</v>
      </c>
      <c r="GL36" t="e">
        <f>AND(#REF!,"AAAAADfY98E=")</f>
        <v>#REF!</v>
      </c>
      <c r="GM36" t="e">
        <f>IF(#REF!,"AAAAADfY98I=",0)</f>
        <v>#REF!</v>
      </c>
      <c r="GN36" t="e">
        <f>AND(#REF!,"AAAAADfY98M=")</f>
        <v>#REF!</v>
      </c>
      <c r="GO36" t="e">
        <f>AND(#REF!,"AAAAADfY98Q=")</f>
        <v>#REF!</v>
      </c>
      <c r="GP36" t="e">
        <f>AND(#REF!,"AAAAADfY98U=")</f>
        <v>#REF!</v>
      </c>
      <c r="GQ36" t="e">
        <f>AND(#REF!,"AAAAADfY98Y=")</f>
        <v>#REF!</v>
      </c>
      <c r="GR36" t="e">
        <f>AND(#REF!,"AAAAADfY98c=")</f>
        <v>#REF!</v>
      </c>
      <c r="GS36" t="e">
        <f>AND(#REF!,"AAAAADfY98g=")</f>
        <v>#REF!</v>
      </c>
      <c r="GT36" t="e">
        <f>AND(#REF!,"AAAAADfY98k=")</f>
        <v>#REF!</v>
      </c>
      <c r="GU36" t="e">
        <f>AND(#REF!,"AAAAADfY98o=")</f>
        <v>#REF!</v>
      </c>
      <c r="GV36" t="e">
        <f>AND(#REF!,"AAAAADfY98s=")</f>
        <v>#REF!</v>
      </c>
      <c r="GW36" t="e">
        <f>AND(#REF!,"AAAAADfY98w=")</f>
        <v>#REF!</v>
      </c>
      <c r="GX36" t="e">
        <f>AND(#REF!,"AAAAADfY980=")</f>
        <v>#REF!</v>
      </c>
      <c r="GY36" t="e">
        <f>AND(#REF!,"AAAAADfY984=")</f>
        <v>#REF!</v>
      </c>
      <c r="GZ36" t="e">
        <f>AND(#REF!,"AAAAADfY988=")</f>
        <v>#REF!</v>
      </c>
      <c r="HA36" t="e">
        <f>AND(#REF!,"AAAAADfY99A=")</f>
        <v>#REF!</v>
      </c>
      <c r="HB36" t="e">
        <f>AND(#REF!,"AAAAADfY99E=")</f>
        <v>#REF!</v>
      </c>
      <c r="HC36" t="e">
        <f>AND(#REF!,"AAAAADfY99I=")</f>
        <v>#REF!</v>
      </c>
      <c r="HD36" t="e">
        <f>AND(#REF!,"AAAAADfY99M=")</f>
        <v>#REF!</v>
      </c>
      <c r="HE36" t="e">
        <f>AND(#REF!,"AAAAADfY99Q=")</f>
        <v>#REF!</v>
      </c>
      <c r="HF36" t="e">
        <f>IF(#REF!,"AAAAADfY99U=",0)</f>
        <v>#REF!</v>
      </c>
      <c r="HG36" t="e">
        <f>AND(#REF!,"AAAAADfY99Y=")</f>
        <v>#REF!</v>
      </c>
      <c r="HH36" t="e">
        <f>AND(#REF!,"AAAAADfY99c=")</f>
        <v>#REF!</v>
      </c>
      <c r="HI36" t="e">
        <f>AND(#REF!,"AAAAADfY99g=")</f>
        <v>#REF!</v>
      </c>
      <c r="HJ36" t="e">
        <f>AND(#REF!,"AAAAADfY99k=")</f>
        <v>#REF!</v>
      </c>
      <c r="HK36" t="e">
        <f>AND(#REF!,"AAAAADfY99o=")</f>
        <v>#REF!</v>
      </c>
      <c r="HL36" t="e">
        <f>AND(#REF!,"AAAAADfY99s=")</f>
        <v>#REF!</v>
      </c>
      <c r="HM36" t="e">
        <f>AND(#REF!,"AAAAADfY99w=")</f>
        <v>#REF!</v>
      </c>
      <c r="HN36" t="e">
        <f>AND(#REF!,"AAAAADfY990=")</f>
        <v>#REF!</v>
      </c>
      <c r="HO36" t="e">
        <f>AND(#REF!,"AAAAADfY994=")</f>
        <v>#REF!</v>
      </c>
      <c r="HP36" t="e">
        <f>AND(#REF!,"AAAAADfY998=")</f>
        <v>#REF!</v>
      </c>
      <c r="HQ36" t="e">
        <f>AND(#REF!,"AAAAADfY9+A=")</f>
        <v>#REF!</v>
      </c>
      <c r="HR36" t="e">
        <f>AND(#REF!,"AAAAADfY9+E=")</f>
        <v>#REF!</v>
      </c>
      <c r="HS36" t="e">
        <f>AND(#REF!,"AAAAADfY9+I=")</f>
        <v>#REF!</v>
      </c>
      <c r="HT36" t="e">
        <f>AND(#REF!,"AAAAADfY9+M=")</f>
        <v>#REF!</v>
      </c>
      <c r="HU36" t="e">
        <f>AND(#REF!,"AAAAADfY9+Q=")</f>
        <v>#REF!</v>
      </c>
      <c r="HV36" t="e">
        <f>AND(#REF!,"AAAAADfY9+U=")</f>
        <v>#REF!</v>
      </c>
      <c r="HW36" t="e">
        <f>AND(#REF!,"AAAAADfY9+Y=")</f>
        <v>#REF!</v>
      </c>
      <c r="HX36" t="e">
        <f>AND(#REF!,"AAAAADfY9+c=")</f>
        <v>#REF!</v>
      </c>
      <c r="HY36" t="e">
        <f>IF(#REF!,"AAAAADfY9+g=",0)</f>
        <v>#REF!</v>
      </c>
      <c r="HZ36" t="e">
        <f>AND(#REF!,"AAAAADfY9+k=")</f>
        <v>#REF!</v>
      </c>
      <c r="IA36" t="e">
        <f>AND(#REF!,"AAAAADfY9+o=")</f>
        <v>#REF!</v>
      </c>
      <c r="IB36" t="e">
        <f>AND(#REF!,"AAAAADfY9+s=")</f>
        <v>#REF!</v>
      </c>
      <c r="IC36" t="e">
        <f>AND(#REF!,"AAAAADfY9+w=")</f>
        <v>#REF!</v>
      </c>
      <c r="ID36" t="e">
        <f>AND(#REF!,"AAAAADfY9+0=")</f>
        <v>#REF!</v>
      </c>
      <c r="IE36" t="e">
        <f>AND(#REF!,"AAAAADfY9+4=")</f>
        <v>#REF!</v>
      </c>
      <c r="IF36" t="e">
        <f>AND(#REF!,"AAAAADfY9+8=")</f>
        <v>#REF!</v>
      </c>
      <c r="IG36" t="e">
        <f>AND(#REF!,"AAAAADfY9/A=")</f>
        <v>#REF!</v>
      </c>
      <c r="IH36" t="e">
        <f>AND(#REF!,"AAAAADfY9/E=")</f>
        <v>#REF!</v>
      </c>
      <c r="II36" t="e">
        <f>AND(#REF!,"AAAAADfY9/I=")</f>
        <v>#REF!</v>
      </c>
      <c r="IJ36" t="e">
        <f>AND(#REF!,"AAAAADfY9/M=")</f>
        <v>#REF!</v>
      </c>
      <c r="IK36" t="e">
        <f>AND(#REF!,"AAAAADfY9/Q=")</f>
        <v>#REF!</v>
      </c>
      <c r="IL36" t="e">
        <f>AND(#REF!,"AAAAADfY9/U=")</f>
        <v>#REF!</v>
      </c>
      <c r="IM36" t="e">
        <f>AND(#REF!,"AAAAADfY9/Y=")</f>
        <v>#REF!</v>
      </c>
      <c r="IN36" t="e">
        <f>AND(#REF!,"AAAAADfY9/c=")</f>
        <v>#REF!</v>
      </c>
      <c r="IO36" t="e">
        <f>AND(#REF!,"AAAAADfY9/g=")</f>
        <v>#REF!</v>
      </c>
      <c r="IP36" t="e">
        <f>AND(#REF!,"AAAAADfY9/k=")</f>
        <v>#REF!</v>
      </c>
      <c r="IQ36" t="e">
        <f>AND(#REF!,"AAAAADfY9/o=")</f>
        <v>#REF!</v>
      </c>
      <c r="IR36" t="e">
        <f>IF(#REF!,"AAAAADfY9/s=",0)</f>
        <v>#REF!</v>
      </c>
      <c r="IS36" t="e">
        <f>AND(#REF!,"AAAAADfY9/w=")</f>
        <v>#REF!</v>
      </c>
      <c r="IT36" t="e">
        <f>AND(#REF!,"AAAAADfY9/0=")</f>
        <v>#REF!</v>
      </c>
      <c r="IU36" t="e">
        <f>AND(#REF!,"AAAAADfY9/4=")</f>
        <v>#REF!</v>
      </c>
      <c r="IV36" t="e">
        <f>AND(#REF!,"AAAAADfY9/8=")</f>
        <v>#REF!</v>
      </c>
    </row>
    <row r="37" spans="1:256" x14ac:dyDescent="0.15">
      <c r="A37" t="e">
        <f>AND(#REF!,"AAAAAHb41QA=")</f>
        <v>#REF!</v>
      </c>
      <c r="B37" t="e">
        <f>AND(#REF!,"AAAAAHb41QE=")</f>
        <v>#REF!</v>
      </c>
      <c r="C37" t="e">
        <f>AND(#REF!,"AAAAAHb41QI=")</f>
        <v>#REF!</v>
      </c>
      <c r="D37" t="e">
        <f>AND(#REF!,"AAAAAHb41QM=")</f>
        <v>#REF!</v>
      </c>
      <c r="E37" t="e">
        <f>AND(#REF!,"AAAAAHb41QQ=")</f>
        <v>#REF!</v>
      </c>
      <c r="F37" t="e">
        <f>AND(#REF!,"AAAAAHb41QU=")</f>
        <v>#REF!</v>
      </c>
      <c r="G37" t="e">
        <f>AND(#REF!,"AAAAAHb41QY=")</f>
        <v>#REF!</v>
      </c>
      <c r="H37" t="e">
        <f>AND(#REF!,"AAAAAHb41Qc=")</f>
        <v>#REF!</v>
      </c>
      <c r="I37" t="e">
        <f>AND(#REF!,"AAAAAHb41Qg=")</f>
        <v>#REF!</v>
      </c>
      <c r="J37" t="e">
        <f>AND(#REF!,"AAAAAHb41Qk=")</f>
        <v>#REF!</v>
      </c>
      <c r="K37" t="e">
        <f>AND(#REF!,"AAAAAHb41Qo=")</f>
        <v>#REF!</v>
      </c>
      <c r="L37" t="e">
        <f>AND(#REF!,"AAAAAHb41Qs=")</f>
        <v>#REF!</v>
      </c>
      <c r="M37" t="e">
        <f>AND(#REF!,"AAAAAHb41Qw=")</f>
        <v>#REF!</v>
      </c>
      <c r="N37" t="e">
        <f>AND(#REF!,"AAAAAHb41Q0=")</f>
        <v>#REF!</v>
      </c>
      <c r="O37" t="e">
        <f>IF(#REF!,"AAAAAHb41Q4=",0)</f>
        <v>#REF!</v>
      </c>
      <c r="P37" t="e">
        <f>AND(#REF!,"AAAAAHb41Q8=")</f>
        <v>#REF!</v>
      </c>
      <c r="Q37" t="e">
        <f>AND(#REF!,"AAAAAHb41RA=")</f>
        <v>#REF!</v>
      </c>
      <c r="R37" t="e">
        <f>AND(#REF!,"AAAAAHb41RE=")</f>
        <v>#REF!</v>
      </c>
      <c r="S37" t="e">
        <f>AND(#REF!,"AAAAAHb41RI=")</f>
        <v>#REF!</v>
      </c>
      <c r="T37" t="e">
        <f>AND(#REF!,"AAAAAHb41RM=")</f>
        <v>#REF!</v>
      </c>
      <c r="U37" t="e">
        <f>AND(#REF!,"AAAAAHb41RQ=")</f>
        <v>#REF!</v>
      </c>
      <c r="V37" t="e">
        <f>AND(#REF!,"AAAAAHb41RU=")</f>
        <v>#REF!</v>
      </c>
      <c r="W37" t="e">
        <f>AND(#REF!,"AAAAAHb41RY=")</f>
        <v>#REF!</v>
      </c>
      <c r="X37" t="e">
        <f>AND(#REF!,"AAAAAHb41Rc=")</f>
        <v>#REF!</v>
      </c>
      <c r="Y37" t="e">
        <f>AND(#REF!,"AAAAAHb41Rg=")</f>
        <v>#REF!</v>
      </c>
      <c r="Z37" t="e">
        <f>AND(#REF!,"AAAAAHb41Rk=")</f>
        <v>#REF!</v>
      </c>
      <c r="AA37" t="e">
        <f>AND(#REF!,"AAAAAHb41Ro=")</f>
        <v>#REF!</v>
      </c>
      <c r="AB37" t="e">
        <f>AND(#REF!,"AAAAAHb41Rs=")</f>
        <v>#REF!</v>
      </c>
      <c r="AC37" t="e">
        <f>AND(#REF!,"AAAAAHb41Rw=")</f>
        <v>#REF!</v>
      </c>
      <c r="AD37" t="e">
        <f>AND(#REF!,"AAAAAHb41R0=")</f>
        <v>#REF!</v>
      </c>
      <c r="AE37" t="e">
        <f>AND(#REF!,"AAAAAHb41R4=")</f>
        <v>#REF!</v>
      </c>
      <c r="AF37" t="e">
        <f>AND(#REF!,"AAAAAHb41R8=")</f>
        <v>#REF!</v>
      </c>
      <c r="AG37" t="e">
        <f>AND(#REF!,"AAAAAHb41SA=")</f>
        <v>#REF!</v>
      </c>
      <c r="AH37" t="e">
        <f>IF(#REF!,"AAAAAHb41SE=",0)</f>
        <v>#REF!</v>
      </c>
      <c r="AI37" t="e">
        <f>AND(#REF!,"AAAAAHb41SI=")</f>
        <v>#REF!</v>
      </c>
      <c r="AJ37" t="e">
        <f>AND(#REF!,"AAAAAHb41SM=")</f>
        <v>#REF!</v>
      </c>
      <c r="AK37" t="e">
        <f>AND(#REF!,"AAAAAHb41SQ=")</f>
        <v>#REF!</v>
      </c>
      <c r="AL37" t="e">
        <f>AND(#REF!,"AAAAAHb41SU=")</f>
        <v>#REF!</v>
      </c>
      <c r="AM37" t="e">
        <f>AND(#REF!,"AAAAAHb41SY=")</f>
        <v>#REF!</v>
      </c>
      <c r="AN37" t="e">
        <f>AND(#REF!,"AAAAAHb41Sc=")</f>
        <v>#REF!</v>
      </c>
      <c r="AO37" t="e">
        <f>AND(#REF!,"AAAAAHb41Sg=")</f>
        <v>#REF!</v>
      </c>
      <c r="AP37" t="e">
        <f>AND(#REF!,"AAAAAHb41Sk=")</f>
        <v>#REF!</v>
      </c>
      <c r="AQ37" t="e">
        <f>AND(#REF!,"AAAAAHb41So=")</f>
        <v>#REF!</v>
      </c>
      <c r="AR37" t="e">
        <f>AND(#REF!,"AAAAAHb41Ss=")</f>
        <v>#REF!</v>
      </c>
      <c r="AS37" t="e">
        <f>AND(#REF!,"AAAAAHb41Sw=")</f>
        <v>#REF!</v>
      </c>
      <c r="AT37" t="e">
        <f>AND(#REF!,"AAAAAHb41S0=")</f>
        <v>#REF!</v>
      </c>
      <c r="AU37" t="e">
        <f>AND(#REF!,"AAAAAHb41S4=")</f>
        <v>#REF!</v>
      </c>
      <c r="AV37" t="e">
        <f>AND(#REF!,"AAAAAHb41S8=")</f>
        <v>#REF!</v>
      </c>
      <c r="AW37" t="e">
        <f>AND(#REF!,"AAAAAHb41TA=")</f>
        <v>#REF!</v>
      </c>
      <c r="AX37" t="e">
        <f>AND(#REF!,"AAAAAHb41TE=")</f>
        <v>#REF!</v>
      </c>
      <c r="AY37" t="e">
        <f>AND(#REF!,"AAAAAHb41TI=")</f>
        <v>#REF!</v>
      </c>
      <c r="AZ37" t="e">
        <f>AND(#REF!,"AAAAAHb41TM=")</f>
        <v>#REF!</v>
      </c>
      <c r="BA37" t="e">
        <f>IF(#REF!,"AAAAAHb41TQ=",0)</f>
        <v>#REF!</v>
      </c>
      <c r="BB37" t="e">
        <f>AND(#REF!,"AAAAAHb41TU=")</f>
        <v>#REF!</v>
      </c>
      <c r="BC37" t="e">
        <f>AND(#REF!,"AAAAAHb41TY=")</f>
        <v>#REF!</v>
      </c>
      <c r="BD37" t="e">
        <f>AND(#REF!,"AAAAAHb41Tc=")</f>
        <v>#REF!</v>
      </c>
      <c r="BE37" t="e">
        <f>AND(#REF!,"AAAAAHb41Tg=")</f>
        <v>#REF!</v>
      </c>
      <c r="BF37" t="e">
        <f>AND(#REF!,"AAAAAHb41Tk=")</f>
        <v>#REF!</v>
      </c>
      <c r="BG37" t="e">
        <f>AND(#REF!,"AAAAAHb41To=")</f>
        <v>#REF!</v>
      </c>
      <c r="BH37" t="e">
        <f>AND(#REF!,"AAAAAHb41Ts=")</f>
        <v>#REF!</v>
      </c>
      <c r="BI37" t="e">
        <f>AND(#REF!,"AAAAAHb41Tw=")</f>
        <v>#REF!</v>
      </c>
      <c r="BJ37" t="e">
        <f>AND(#REF!,"AAAAAHb41T0=")</f>
        <v>#REF!</v>
      </c>
      <c r="BK37" t="e">
        <f>AND(#REF!,"AAAAAHb41T4=")</f>
        <v>#REF!</v>
      </c>
      <c r="BL37" t="e">
        <f>AND(#REF!,"AAAAAHb41T8=")</f>
        <v>#REF!</v>
      </c>
      <c r="BM37" t="e">
        <f>AND(#REF!,"AAAAAHb41UA=")</f>
        <v>#REF!</v>
      </c>
      <c r="BN37" t="e">
        <f>AND(#REF!,"AAAAAHb41UE=")</f>
        <v>#REF!</v>
      </c>
      <c r="BO37" t="e">
        <f>AND(#REF!,"AAAAAHb41UI=")</f>
        <v>#REF!</v>
      </c>
      <c r="BP37" t="e">
        <f>AND(#REF!,"AAAAAHb41UM=")</f>
        <v>#REF!</v>
      </c>
      <c r="BQ37" t="e">
        <f>AND(#REF!,"AAAAAHb41UQ=")</f>
        <v>#REF!</v>
      </c>
      <c r="BR37" t="e">
        <f>AND(#REF!,"AAAAAHb41UU=")</f>
        <v>#REF!</v>
      </c>
      <c r="BS37" t="e">
        <f>AND(#REF!,"AAAAAHb41UY=")</f>
        <v>#REF!</v>
      </c>
      <c r="BT37" t="e">
        <f>IF(#REF!,"AAAAAHb41Uc=",0)</f>
        <v>#REF!</v>
      </c>
      <c r="BU37" t="e">
        <f>AND(#REF!,"AAAAAHb41Ug=")</f>
        <v>#REF!</v>
      </c>
      <c r="BV37" t="e">
        <f>AND(#REF!,"AAAAAHb41Uk=")</f>
        <v>#REF!</v>
      </c>
      <c r="BW37" t="e">
        <f>AND(#REF!,"AAAAAHb41Uo=")</f>
        <v>#REF!</v>
      </c>
      <c r="BX37" t="e">
        <f>AND(#REF!,"AAAAAHb41Us=")</f>
        <v>#REF!</v>
      </c>
      <c r="BY37" t="e">
        <f>AND(#REF!,"AAAAAHb41Uw=")</f>
        <v>#REF!</v>
      </c>
      <c r="BZ37" t="e">
        <f>AND(#REF!,"AAAAAHb41U0=")</f>
        <v>#REF!</v>
      </c>
      <c r="CA37" t="e">
        <f>AND(#REF!,"AAAAAHb41U4=")</f>
        <v>#REF!</v>
      </c>
      <c r="CB37" t="e">
        <f>AND(#REF!,"AAAAAHb41U8=")</f>
        <v>#REF!</v>
      </c>
      <c r="CC37" t="e">
        <f>AND(#REF!,"AAAAAHb41VA=")</f>
        <v>#REF!</v>
      </c>
      <c r="CD37" t="e">
        <f>AND(#REF!,"AAAAAHb41VE=")</f>
        <v>#REF!</v>
      </c>
      <c r="CE37" t="e">
        <f>AND(#REF!,"AAAAAHb41VI=")</f>
        <v>#REF!</v>
      </c>
      <c r="CF37" t="e">
        <f>AND(#REF!,"AAAAAHb41VM=")</f>
        <v>#REF!</v>
      </c>
      <c r="CG37" t="e">
        <f>AND(#REF!,"AAAAAHb41VQ=")</f>
        <v>#REF!</v>
      </c>
      <c r="CH37" t="e">
        <f>AND(#REF!,"AAAAAHb41VU=")</f>
        <v>#REF!</v>
      </c>
      <c r="CI37" t="e">
        <f>AND(#REF!,"AAAAAHb41VY=")</f>
        <v>#REF!</v>
      </c>
      <c r="CJ37" t="e">
        <f>AND(#REF!,"AAAAAHb41Vc=")</f>
        <v>#REF!</v>
      </c>
      <c r="CK37" t="e">
        <f>AND(#REF!,"AAAAAHb41Vg=")</f>
        <v>#REF!</v>
      </c>
      <c r="CL37" t="e">
        <f>AND(#REF!,"AAAAAHb41Vk=")</f>
        <v>#REF!</v>
      </c>
      <c r="CM37" t="e">
        <f>IF(#REF!,"AAAAAHb41Vo=",0)</f>
        <v>#REF!</v>
      </c>
      <c r="CN37" t="e">
        <f>AND(#REF!,"AAAAAHb41Vs=")</f>
        <v>#REF!</v>
      </c>
      <c r="CO37" t="e">
        <f>AND(#REF!,"AAAAAHb41Vw=")</f>
        <v>#REF!</v>
      </c>
      <c r="CP37" t="e">
        <f>AND(#REF!,"AAAAAHb41V0=")</f>
        <v>#REF!</v>
      </c>
      <c r="CQ37" t="e">
        <f>AND(#REF!,"AAAAAHb41V4=")</f>
        <v>#REF!</v>
      </c>
      <c r="CR37" t="e">
        <f>AND(#REF!,"AAAAAHb41V8=")</f>
        <v>#REF!</v>
      </c>
      <c r="CS37" t="e">
        <f>AND(#REF!,"AAAAAHb41WA=")</f>
        <v>#REF!</v>
      </c>
      <c r="CT37" t="e">
        <f>AND(#REF!,"AAAAAHb41WE=")</f>
        <v>#REF!</v>
      </c>
      <c r="CU37" t="e">
        <f>AND(#REF!,"AAAAAHb41WI=")</f>
        <v>#REF!</v>
      </c>
      <c r="CV37" t="e">
        <f>AND(#REF!,"AAAAAHb41WM=")</f>
        <v>#REF!</v>
      </c>
      <c r="CW37" t="e">
        <f>AND(#REF!,"AAAAAHb41WQ=")</f>
        <v>#REF!</v>
      </c>
      <c r="CX37" t="e">
        <f>AND(#REF!,"AAAAAHb41WU=")</f>
        <v>#REF!</v>
      </c>
      <c r="CY37" t="e">
        <f>AND(#REF!,"AAAAAHb41WY=")</f>
        <v>#REF!</v>
      </c>
      <c r="CZ37" t="e">
        <f>AND(#REF!,"AAAAAHb41Wc=")</f>
        <v>#REF!</v>
      </c>
      <c r="DA37" t="e">
        <f>AND(#REF!,"AAAAAHb41Wg=")</f>
        <v>#REF!</v>
      </c>
      <c r="DB37" t="e">
        <f>AND(#REF!,"AAAAAHb41Wk=")</f>
        <v>#REF!</v>
      </c>
      <c r="DC37" t="e">
        <f>AND(#REF!,"AAAAAHb41Wo=")</f>
        <v>#REF!</v>
      </c>
      <c r="DD37" t="e">
        <f>AND(#REF!,"AAAAAHb41Ws=")</f>
        <v>#REF!</v>
      </c>
      <c r="DE37" t="e">
        <f>AND(#REF!,"AAAAAHb41Ww=")</f>
        <v>#REF!</v>
      </c>
      <c r="DF37" t="e">
        <f>IF(#REF!,"AAAAAHb41W0=",0)</f>
        <v>#REF!</v>
      </c>
      <c r="DG37" t="e">
        <f>AND(#REF!,"AAAAAHb41W4=")</f>
        <v>#REF!</v>
      </c>
      <c r="DH37" t="e">
        <f>AND(#REF!,"AAAAAHb41W8=")</f>
        <v>#REF!</v>
      </c>
      <c r="DI37" t="e">
        <f>AND(#REF!,"AAAAAHb41XA=")</f>
        <v>#REF!</v>
      </c>
      <c r="DJ37" t="e">
        <f>AND(#REF!,"AAAAAHb41XE=")</f>
        <v>#REF!</v>
      </c>
      <c r="DK37" t="e">
        <f>AND(#REF!,"AAAAAHb41XI=")</f>
        <v>#REF!</v>
      </c>
      <c r="DL37" t="e">
        <f>AND(#REF!,"AAAAAHb41XM=")</f>
        <v>#REF!</v>
      </c>
      <c r="DM37" t="e">
        <f>AND(#REF!,"AAAAAHb41XQ=")</f>
        <v>#REF!</v>
      </c>
      <c r="DN37" t="e">
        <f>AND(#REF!,"AAAAAHb41XU=")</f>
        <v>#REF!</v>
      </c>
      <c r="DO37" t="e">
        <f>AND(#REF!,"AAAAAHb41XY=")</f>
        <v>#REF!</v>
      </c>
      <c r="DP37" t="e">
        <f>AND(#REF!,"AAAAAHb41Xc=")</f>
        <v>#REF!</v>
      </c>
      <c r="DQ37" t="e">
        <f>AND(#REF!,"AAAAAHb41Xg=")</f>
        <v>#REF!</v>
      </c>
      <c r="DR37" t="e">
        <f>AND(#REF!,"AAAAAHb41Xk=")</f>
        <v>#REF!</v>
      </c>
      <c r="DS37" t="e">
        <f>AND(#REF!,"AAAAAHb41Xo=")</f>
        <v>#REF!</v>
      </c>
      <c r="DT37" t="e">
        <f>AND(#REF!,"AAAAAHb41Xs=")</f>
        <v>#REF!</v>
      </c>
      <c r="DU37" t="e">
        <f>AND(#REF!,"AAAAAHb41Xw=")</f>
        <v>#REF!</v>
      </c>
      <c r="DV37" t="e">
        <f>AND(#REF!,"AAAAAHb41X0=")</f>
        <v>#REF!</v>
      </c>
      <c r="DW37" t="e">
        <f>AND(#REF!,"AAAAAHb41X4=")</f>
        <v>#REF!</v>
      </c>
      <c r="DX37" t="e">
        <f>AND(#REF!,"AAAAAHb41X8=")</f>
        <v>#REF!</v>
      </c>
      <c r="DY37" t="e">
        <f>IF(#REF!,"AAAAAHb41YA=",0)</f>
        <v>#REF!</v>
      </c>
      <c r="DZ37" t="e">
        <f>AND(#REF!,"AAAAAHb41YE=")</f>
        <v>#REF!</v>
      </c>
      <c r="EA37" t="e">
        <f>AND(#REF!,"AAAAAHb41YI=")</f>
        <v>#REF!</v>
      </c>
      <c r="EB37" t="e">
        <f>AND(#REF!,"AAAAAHb41YM=")</f>
        <v>#REF!</v>
      </c>
      <c r="EC37" t="e">
        <f>AND(#REF!,"AAAAAHb41YQ=")</f>
        <v>#REF!</v>
      </c>
      <c r="ED37" t="e">
        <f>AND(#REF!,"AAAAAHb41YU=")</f>
        <v>#REF!</v>
      </c>
      <c r="EE37" t="e">
        <f>AND(#REF!,"AAAAAHb41YY=")</f>
        <v>#REF!</v>
      </c>
      <c r="EF37" t="e">
        <f>AND(#REF!,"AAAAAHb41Yc=")</f>
        <v>#REF!</v>
      </c>
      <c r="EG37" t="e">
        <f>AND(#REF!,"AAAAAHb41Yg=")</f>
        <v>#REF!</v>
      </c>
      <c r="EH37" t="e">
        <f>AND(#REF!,"AAAAAHb41Yk=")</f>
        <v>#REF!</v>
      </c>
      <c r="EI37" t="e">
        <f>AND(#REF!,"AAAAAHb41Yo=")</f>
        <v>#REF!</v>
      </c>
      <c r="EJ37" t="e">
        <f>AND(#REF!,"AAAAAHb41Ys=")</f>
        <v>#REF!</v>
      </c>
      <c r="EK37" t="e">
        <f>AND(#REF!,"AAAAAHb41Yw=")</f>
        <v>#REF!</v>
      </c>
      <c r="EL37" t="e">
        <f>AND(#REF!,"AAAAAHb41Y0=")</f>
        <v>#REF!</v>
      </c>
      <c r="EM37" t="e">
        <f>AND(#REF!,"AAAAAHb41Y4=")</f>
        <v>#REF!</v>
      </c>
      <c r="EN37" t="e">
        <f>AND(#REF!,"AAAAAHb41Y8=")</f>
        <v>#REF!</v>
      </c>
      <c r="EO37" t="e">
        <f>AND(#REF!,"AAAAAHb41ZA=")</f>
        <v>#REF!</v>
      </c>
      <c r="EP37" t="e">
        <f>AND(#REF!,"AAAAAHb41ZE=")</f>
        <v>#REF!</v>
      </c>
      <c r="EQ37" t="e">
        <f>AND(#REF!,"AAAAAHb41ZI=")</f>
        <v>#REF!</v>
      </c>
      <c r="ER37" t="e">
        <f>IF(#REF!,"AAAAAHb41ZM=",0)</f>
        <v>#REF!</v>
      </c>
      <c r="ES37" t="e">
        <f>AND(#REF!,"AAAAAHb41ZQ=")</f>
        <v>#REF!</v>
      </c>
      <c r="ET37" t="e">
        <f>AND(#REF!,"AAAAAHb41ZU=")</f>
        <v>#REF!</v>
      </c>
      <c r="EU37" t="e">
        <f>AND(#REF!,"AAAAAHb41ZY=")</f>
        <v>#REF!</v>
      </c>
      <c r="EV37" t="e">
        <f>AND(#REF!,"AAAAAHb41Zc=")</f>
        <v>#REF!</v>
      </c>
      <c r="EW37" t="e">
        <f>AND(#REF!,"AAAAAHb41Zg=")</f>
        <v>#REF!</v>
      </c>
      <c r="EX37" t="e">
        <f>AND(#REF!,"AAAAAHb41Zk=")</f>
        <v>#REF!</v>
      </c>
      <c r="EY37" t="e">
        <f>AND(#REF!,"AAAAAHb41Zo=")</f>
        <v>#REF!</v>
      </c>
      <c r="EZ37" t="e">
        <f>AND(#REF!,"AAAAAHb41Zs=")</f>
        <v>#REF!</v>
      </c>
      <c r="FA37" t="e">
        <f>AND(#REF!,"AAAAAHb41Zw=")</f>
        <v>#REF!</v>
      </c>
      <c r="FB37" t="e">
        <f>AND(#REF!,"AAAAAHb41Z0=")</f>
        <v>#REF!</v>
      </c>
      <c r="FC37" t="e">
        <f>AND(#REF!,"AAAAAHb41Z4=")</f>
        <v>#REF!</v>
      </c>
      <c r="FD37" t="e">
        <f>AND(#REF!,"AAAAAHb41Z8=")</f>
        <v>#REF!</v>
      </c>
      <c r="FE37" t="e">
        <f>AND(#REF!,"AAAAAHb41aA=")</f>
        <v>#REF!</v>
      </c>
      <c r="FF37" t="e">
        <f>AND(#REF!,"AAAAAHb41aE=")</f>
        <v>#REF!</v>
      </c>
      <c r="FG37" t="e">
        <f>AND(#REF!,"AAAAAHb41aI=")</f>
        <v>#REF!</v>
      </c>
      <c r="FH37" t="e">
        <f>AND(#REF!,"AAAAAHb41aM=")</f>
        <v>#REF!</v>
      </c>
      <c r="FI37" t="e">
        <f>AND(#REF!,"AAAAAHb41aQ=")</f>
        <v>#REF!</v>
      </c>
      <c r="FJ37" t="e">
        <f>AND(#REF!,"AAAAAHb41aU=")</f>
        <v>#REF!</v>
      </c>
      <c r="FK37" t="e">
        <f>IF(#REF!,"AAAAAHb41aY=",0)</f>
        <v>#REF!</v>
      </c>
      <c r="FL37" t="e">
        <f>AND(#REF!,"AAAAAHb41ac=")</f>
        <v>#REF!</v>
      </c>
      <c r="FM37" t="e">
        <f>AND(#REF!,"AAAAAHb41ag=")</f>
        <v>#REF!</v>
      </c>
      <c r="FN37" t="e">
        <f>AND(#REF!,"AAAAAHb41ak=")</f>
        <v>#REF!</v>
      </c>
      <c r="FO37" t="e">
        <f>AND(#REF!,"AAAAAHb41ao=")</f>
        <v>#REF!</v>
      </c>
      <c r="FP37" t="e">
        <f>AND(#REF!,"AAAAAHb41as=")</f>
        <v>#REF!</v>
      </c>
      <c r="FQ37" t="e">
        <f>AND(#REF!,"AAAAAHb41aw=")</f>
        <v>#REF!</v>
      </c>
      <c r="FR37" t="e">
        <f>AND(#REF!,"AAAAAHb41a0=")</f>
        <v>#REF!</v>
      </c>
      <c r="FS37" t="e">
        <f>AND(#REF!,"AAAAAHb41a4=")</f>
        <v>#REF!</v>
      </c>
      <c r="FT37" t="e">
        <f>AND(#REF!,"AAAAAHb41a8=")</f>
        <v>#REF!</v>
      </c>
      <c r="FU37" t="e">
        <f>AND(#REF!,"AAAAAHb41bA=")</f>
        <v>#REF!</v>
      </c>
      <c r="FV37" t="e">
        <f>AND(#REF!,"AAAAAHb41bE=")</f>
        <v>#REF!</v>
      </c>
      <c r="FW37" t="e">
        <f>AND(#REF!,"AAAAAHb41bI=")</f>
        <v>#REF!</v>
      </c>
      <c r="FX37" t="e">
        <f>AND(#REF!,"AAAAAHb41bM=")</f>
        <v>#REF!</v>
      </c>
      <c r="FY37" t="e">
        <f>AND(#REF!,"AAAAAHb41bQ=")</f>
        <v>#REF!</v>
      </c>
      <c r="FZ37" t="e">
        <f>AND(#REF!,"AAAAAHb41bU=")</f>
        <v>#REF!</v>
      </c>
      <c r="GA37" t="e">
        <f>AND(#REF!,"AAAAAHb41bY=")</f>
        <v>#REF!</v>
      </c>
      <c r="GB37" t="e">
        <f>AND(#REF!,"AAAAAHb41bc=")</f>
        <v>#REF!</v>
      </c>
      <c r="GC37" t="e">
        <f>AND(#REF!,"AAAAAHb41bg=")</f>
        <v>#REF!</v>
      </c>
      <c r="GD37" t="e">
        <f>IF(#REF!,"AAAAAHb41bk=",0)</f>
        <v>#REF!</v>
      </c>
      <c r="GE37" t="e">
        <f>AND(#REF!,"AAAAAHb41bo=")</f>
        <v>#REF!</v>
      </c>
      <c r="GF37" t="e">
        <f>AND(#REF!,"AAAAAHb41bs=")</f>
        <v>#REF!</v>
      </c>
      <c r="GG37" t="e">
        <f>AND(#REF!,"AAAAAHb41bw=")</f>
        <v>#REF!</v>
      </c>
      <c r="GH37" t="e">
        <f>AND(#REF!,"AAAAAHb41b0=")</f>
        <v>#REF!</v>
      </c>
      <c r="GI37" t="e">
        <f>AND(#REF!,"AAAAAHb41b4=")</f>
        <v>#REF!</v>
      </c>
      <c r="GJ37" t="e">
        <f>AND(#REF!,"AAAAAHb41b8=")</f>
        <v>#REF!</v>
      </c>
      <c r="GK37" t="e">
        <f>AND(#REF!,"AAAAAHb41cA=")</f>
        <v>#REF!</v>
      </c>
      <c r="GL37" t="e">
        <f>AND(#REF!,"AAAAAHb41cE=")</f>
        <v>#REF!</v>
      </c>
      <c r="GM37" t="e">
        <f>AND(#REF!,"AAAAAHb41cI=")</f>
        <v>#REF!</v>
      </c>
      <c r="GN37" t="e">
        <f>AND(#REF!,"AAAAAHb41cM=")</f>
        <v>#REF!</v>
      </c>
      <c r="GO37" t="e">
        <f>AND(#REF!,"AAAAAHb41cQ=")</f>
        <v>#REF!</v>
      </c>
      <c r="GP37" t="e">
        <f>AND(#REF!,"AAAAAHb41cU=")</f>
        <v>#REF!</v>
      </c>
      <c r="GQ37" t="e">
        <f>AND(#REF!,"AAAAAHb41cY=")</f>
        <v>#REF!</v>
      </c>
      <c r="GR37" t="e">
        <f>AND(#REF!,"AAAAAHb41cc=")</f>
        <v>#REF!</v>
      </c>
      <c r="GS37" t="e">
        <f>AND(#REF!,"AAAAAHb41cg=")</f>
        <v>#REF!</v>
      </c>
      <c r="GT37" t="e">
        <f>AND(#REF!,"AAAAAHb41ck=")</f>
        <v>#REF!</v>
      </c>
      <c r="GU37" t="e">
        <f>AND(#REF!,"AAAAAHb41co=")</f>
        <v>#REF!</v>
      </c>
      <c r="GV37" t="e">
        <f>AND(#REF!,"AAAAAHb41cs=")</f>
        <v>#REF!</v>
      </c>
      <c r="GW37" t="e">
        <f>IF(#REF!,"AAAAAHb41cw=",0)</f>
        <v>#REF!</v>
      </c>
      <c r="GX37" t="e">
        <f>AND(#REF!,"AAAAAHb41c0=")</f>
        <v>#REF!</v>
      </c>
      <c r="GY37" t="e">
        <f>AND(#REF!,"AAAAAHb41c4=")</f>
        <v>#REF!</v>
      </c>
      <c r="GZ37" t="e">
        <f>AND(#REF!,"AAAAAHb41c8=")</f>
        <v>#REF!</v>
      </c>
      <c r="HA37" t="e">
        <f>AND(#REF!,"AAAAAHb41dA=")</f>
        <v>#REF!</v>
      </c>
      <c r="HB37" t="e">
        <f>AND(#REF!,"AAAAAHb41dE=")</f>
        <v>#REF!</v>
      </c>
      <c r="HC37" t="e">
        <f>AND(#REF!,"AAAAAHb41dI=")</f>
        <v>#REF!</v>
      </c>
      <c r="HD37" t="e">
        <f>AND(#REF!,"AAAAAHb41dM=")</f>
        <v>#REF!</v>
      </c>
      <c r="HE37" t="e">
        <f>AND(#REF!,"AAAAAHb41dQ=")</f>
        <v>#REF!</v>
      </c>
      <c r="HF37" t="e">
        <f>AND(#REF!,"AAAAAHb41dU=")</f>
        <v>#REF!</v>
      </c>
      <c r="HG37" t="e">
        <f>AND(#REF!,"AAAAAHb41dY=")</f>
        <v>#REF!</v>
      </c>
      <c r="HH37" t="e">
        <f>AND(#REF!,"AAAAAHb41dc=")</f>
        <v>#REF!</v>
      </c>
      <c r="HI37" t="e">
        <f>AND(#REF!,"AAAAAHb41dg=")</f>
        <v>#REF!</v>
      </c>
      <c r="HJ37" t="e">
        <f>AND(#REF!,"AAAAAHb41dk=")</f>
        <v>#REF!</v>
      </c>
      <c r="HK37" t="e">
        <f>AND(#REF!,"AAAAAHb41do=")</f>
        <v>#REF!</v>
      </c>
      <c r="HL37" t="e">
        <f>AND(#REF!,"AAAAAHb41ds=")</f>
        <v>#REF!</v>
      </c>
      <c r="HM37" t="e">
        <f>AND(#REF!,"AAAAAHb41dw=")</f>
        <v>#REF!</v>
      </c>
      <c r="HN37" t="e">
        <f>AND(#REF!,"AAAAAHb41d0=")</f>
        <v>#REF!</v>
      </c>
      <c r="HO37" t="e">
        <f>AND(#REF!,"AAAAAHb41d4=")</f>
        <v>#REF!</v>
      </c>
      <c r="HP37" t="e">
        <f>IF(#REF!,"AAAAAHb41d8=",0)</f>
        <v>#REF!</v>
      </c>
      <c r="HQ37" t="e">
        <f>AND(#REF!,"AAAAAHb41eA=")</f>
        <v>#REF!</v>
      </c>
      <c r="HR37" t="e">
        <f>AND(#REF!,"AAAAAHb41eE=")</f>
        <v>#REF!</v>
      </c>
      <c r="HS37" t="e">
        <f>AND(#REF!,"AAAAAHb41eI=")</f>
        <v>#REF!</v>
      </c>
      <c r="HT37" t="e">
        <f>AND(#REF!,"AAAAAHb41eM=")</f>
        <v>#REF!</v>
      </c>
      <c r="HU37" t="e">
        <f>AND(#REF!,"AAAAAHb41eQ=")</f>
        <v>#REF!</v>
      </c>
      <c r="HV37" t="e">
        <f>AND(#REF!,"AAAAAHb41eU=")</f>
        <v>#REF!</v>
      </c>
      <c r="HW37" t="e">
        <f>AND(#REF!,"AAAAAHb41eY=")</f>
        <v>#REF!</v>
      </c>
      <c r="HX37" t="e">
        <f>AND(#REF!,"AAAAAHb41ec=")</f>
        <v>#REF!</v>
      </c>
      <c r="HY37" t="e">
        <f>AND(#REF!,"AAAAAHb41eg=")</f>
        <v>#REF!</v>
      </c>
      <c r="HZ37" t="e">
        <f>AND(#REF!,"AAAAAHb41ek=")</f>
        <v>#REF!</v>
      </c>
      <c r="IA37" t="e">
        <f>AND(#REF!,"AAAAAHb41eo=")</f>
        <v>#REF!</v>
      </c>
      <c r="IB37" t="e">
        <f>AND(#REF!,"AAAAAHb41es=")</f>
        <v>#REF!</v>
      </c>
      <c r="IC37" t="e">
        <f>AND(#REF!,"AAAAAHb41ew=")</f>
        <v>#REF!</v>
      </c>
      <c r="ID37" t="e">
        <f>AND(#REF!,"AAAAAHb41e0=")</f>
        <v>#REF!</v>
      </c>
      <c r="IE37" t="e">
        <f>AND(#REF!,"AAAAAHb41e4=")</f>
        <v>#REF!</v>
      </c>
      <c r="IF37" t="e">
        <f>AND(#REF!,"AAAAAHb41e8=")</f>
        <v>#REF!</v>
      </c>
      <c r="IG37" t="e">
        <f>AND(#REF!,"AAAAAHb41fA=")</f>
        <v>#REF!</v>
      </c>
      <c r="IH37" t="e">
        <f>AND(#REF!,"AAAAAHb41fE=")</f>
        <v>#REF!</v>
      </c>
      <c r="II37" t="e">
        <f>IF(#REF!,"AAAAAHb41fI=",0)</f>
        <v>#REF!</v>
      </c>
      <c r="IJ37" t="e">
        <f>AND(#REF!,"AAAAAHb41fM=")</f>
        <v>#REF!</v>
      </c>
      <c r="IK37" t="e">
        <f>AND(#REF!,"AAAAAHb41fQ=")</f>
        <v>#REF!</v>
      </c>
      <c r="IL37" t="e">
        <f>AND(#REF!,"AAAAAHb41fU=")</f>
        <v>#REF!</v>
      </c>
      <c r="IM37" t="e">
        <f>AND(#REF!,"AAAAAHb41fY=")</f>
        <v>#REF!</v>
      </c>
      <c r="IN37" t="e">
        <f>AND(#REF!,"AAAAAHb41fc=")</f>
        <v>#REF!</v>
      </c>
      <c r="IO37" t="e">
        <f>AND(#REF!,"AAAAAHb41fg=")</f>
        <v>#REF!</v>
      </c>
      <c r="IP37" t="e">
        <f>AND(#REF!,"AAAAAHb41fk=")</f>
        <v>#REF!</v>
      </c>
      <c r="IQ37" t="e">
        <f>AND(#REF!,"AAAAAHb41fo=")</f>
        <v>#REF!</v>
      </c>
      <c r="IR37" t="e">
        <f>AND(#REF!,"AAAAAHb41fs=")</f>
        <v>#REF!</v>
      </c>
      <c r="IS37" t="e">
        <f>AND(#REF!,"AAAAAHb41fw=")</f>
        <v>#REF!</v>
      </c>
      <c r="IT37" t="e">
        <f>AND(#REF!,"AAAAAHb41f0=")</f>
        <v>#REF!</v>
      </c>
      <c r="IU37" t="e">
        <f>AND(#REF!,"AAAAAHb41f4=")</f>
        <v>#REF!</v>
      </c>
      <c r="IV37" t="e">
        <f>AND(#REF!,"AAAAAHb41f8=")</f>
        <v>#REF!</v>
      </c>
    </row>
    <row r="38" spans="1:256" x14ac:dyDescent="0.15">
      <c r="A38" t="e">
        <f>AND(#REF!,"AAAAAH+/vwA=")</f>
        <v>#REF!</v>
      </c>
      <c r="B38" t="e">
        <f>AND(#REF!,"AAAAAH+/vwE=")</f>
        <v>#REF!</v>
      </c>
      <c r="C38" t="e">
        <f>AND(#REF!,"AAAAAH+/vwI=")</f>
        <v>#REF!</v>
      </c>
      <c r="D38" t="e">
        <f>AND(#REF!,"AAAAAH+/vwM=")</f>
        <v>#REF!</v>
      </c>
      <c r="E38" t="e">
        <f>AND(#REF!,"AAAAAH+/vwQ=")</f>
        <v>#REF!</v>
      </c>
      <c r="F38" t="e">
        <f>IF(#REF!,"AAAAAH+/vwU=",0)</f>
        <v>#REF!</v>
      </c>
      <c r="G38" t="e">
        <f>AND(#REF!,"AAAAAH+/vwY=")</f>
        <v>#REF!</v>
      </c>
      <c r="H38" t="e">
        <f>AND(#REF!,"AAAAAH+/vwc=")</f>
        <v>#REF!</v>
      </c>
      <c r="I38" t="e">
        <f>AND(#REF!,"AAAAAH+/vwg=")</f>
        <v>#REF!</v>
      </c>
      <c r="J38" t="e">
        <f>AND(#REF!,"AAAAAH+/vwk=")</f>
        <v>#REF!</v>
      </c>
      <c r="K38" t="e">
        <f>AND(#REF!,"AAAAAH+/vwo=")</f>
        <v>#REF!</v>
      </c>
      <c r="L38" t="e">
        <f>AND(#REF!,"AAAAAH+/vws=")</f>
        <v>#REF!</v>
      </c>
      <c r="M38" t="e">
        <f>AND(#REF!,"AAAAAH+/vww=")</f>
        <v>#REF!</v>
      </c>
      <c r="N38" t="e">
        <f>AND(#REF!,"AAAAAH+/vw0=")</f>
        <v>#REF!</v>
      </c>
      <c r="O38" t="e">
        <f>AND(#REF!,"AAAAAH+/vw4=")</f>
        <v>#REF!</v>
      </c>
      <c r="P38" t="e">
        <f>AND(#REF!,"AAAAAH+/vw8=")</f>
        <v>#REF!</v>
      </c>
      <c r="Q38" t="e">
        <f>AND(#REF!,"AAAAAH+/vxA=")</f>
        <v>#REF!</v>
      </c>
      <c r="R38" t="e">
        <f>AND(#REF!,"AAAAAH+/vxE=")</f>
        <v>#REF!</v>
      </c>
      <c r="S38" t="e">
        <f>AND(#REF!,"AAAAAH+/vxI=")</f>
        <v>#REF!</v>
      </c>
      <c r="T38" t="e">
        <f>AND(#REF!,"AAAAAH+/vxM=")</f>
        <v>#REF!</v>
      </c>
      <c r="U38" t="e">
        <f>AND(#REF!,"AAAAAH+/vxQ=")</f>
        <v>#REF!</v>
      </c>
      <c r="V38" t="e">
        <f>AND(#REF!,"AAAAAH+/vxU=")</f>
        <v>#REF!</v>
      </c>
      <c r="W38" t="e">
        <f>AND(#REF!,"AAAAAH+/vxY=")</f>
        <v>#REF!</v>
      </c>
      <c r="X38" t="e">
        <f>AND(#REF!,"AAAAAH+/vxc=")</f>
        <v>#REF!</v>
      </c>
      <c r="Y38" t="e">
        <f>IF(#REF!,"AAAAAH+/vxg=",0)</f>
        <v>#REF!</v>
      </c>
      <c r="Z38" t="e">
        <f>AND(#REF!,"AAAAAH+/vxk=")</f>
        <v>#REF!</v>
      </c>
      <c r="AA38" t="e">
        <f>AND(#REF!,"AAAAAH+/vxo=")</f>
        <v>#REF!</v>
      </c>
      <c r="AB38" t="e">
        <f>AND(#REF!,"AAAAAH+/vxs=")</f>
        <v>#REF!</v>
      </c>
      <c r="AC38" t="e">
        <f>AND(#REF!,"AAAAAH+/vxw=")</f>
        <v>#REF!</v>
      </c>
      <c r="AD38" t="e">
        <f>AND(#REF!,"AAAAAH+/vx0=")</f>
        <v>#REF!</v>
      </c>
      <c r="AE38" t="e">
        <f>AND(#REF!,"AAAAAH+/vx4=")</f>
        <v>#REF!</v>
      </c>
      <c r="AF38" t="e">
        <f>AND(#REF!,"AAAAAH+/vx8=")</f>
        <v>#REF!</v>
      </c>
      <c r="AG38" t="e">
        <f>AND(#REF!,"AAAAAH+/vyA=")</f>
        <v>#REF!</v>
      </c>
      <c r="AH38" t="e">
        <f>AND(#REF!,"AAAAAH+/vyE=")</f>
        <v>#REF!</v>
      </c>
      <c r="AI38" t="e">
        <f>AND(#REF!,"AAAAAH+/vyI=")</f>
        <v>#REF!</v>
      </c>
      <c r="AJ38" t="e">
        <f>AND(#REF!,"AAAAAH+/vyM=")</f>
        <v>#REF!</v>
      </c>
      <c r="AK38" t="e">
        <f>AND(#REF!,"AAAAAH+/vyQ=")</f>
        <v>#REF!</v>
      </c>
      <c r="AL38" t="e">
        <f>AND(#REF!,"AAAAAH+/vyU=")</f>
        <v>#REF!</v>
      </c>
      <c r="AM38" t="e">
        <f>AND(#REF!,"AAAAAH+/vyY=")</f>
        <v>#REF!</v>
      </c>
      <c r="AN38" t="e">
        <f>AND(#REF!,"AAAAAH+/vyc=")</f>
        <v>#REF!</v>
      </c>
      <c r="AO38" t="e">
        <f>AND(#REF!,"AAAAAH+/vyg=")</f>
        <v>#REF!</v>
      </c>
      <c r="AP38" t="e">
        <f>AND(#REF!,"AAAAAH+/vyk=")</f>
        <v>#REF!</v>
      </c>
      <c r="AQ38" t="e">
        <f>AND(#REF!,"AAAAAH+/vyo=")</f>
        <v>#REF!</v>
      </c>
      <c r="AR38" t="e">
        <f>IF(#REF!,"AAAAAH+/vys=",0)</f>
        <v>#REF!</v>
      </c>
      <c r="AS38" t="e">
        <f>AND(#REF!,"AAAAAH+/vyw=")</f>
        <v>#REF!</v>
      </c>
      <c r="AT38" t="e">
        <f>AND(#REF!,"AAAAAH+/vy0=")</f>
        <v>#REF!</v>
      </c>
      <c r="AU38" t="e">
        <f>AND(#REF!,"AAAAAH+/vy4=")</f>
        <v>#REF!</v>
      </c>
      <c r="AV38" t="e">
        <f>AND(#REF!,"AAAAAH+/vy8=")</f>
        <v>#REF!</v>
      </c>
      <c r="AW38" t="e">
        <f>AND(#REF!,"AAAAAH+/vzA=")</f>
        <v>#REF!</v>
      </c>
      <c r="AX38" t="e">
        <f>AND(#REF!,"AAAAAH+/vzE=")</f>
        <v>#REF!</v>
      </c>
      <c r="AY38" t="e">
        <f>AND(#REF!,"AAAAAH+/vzI=")</f>
        <v>#REF!</v>
      </c>
      <c r="AZ38" t="e">
        <f>AND(#REF!,"AAAAAH+/vzM=")</f>
        <v>#REF!</v>
      </c>
      <c r="BA38" t="e">
        <f>AND(#REF!,"AAAAAH+/vzQ=")</f>
        <v>#REF!</v>
      </c>
      <c r="BB38" t="e">
        <f>AND(#REF!,"AAAAAH+/vzU=")</f>
        <v>#REF!</v>
      </c>
      <c r="BC38" t="e">
        <f>AND(#REF!,"AAAAAH+/vzY=")</f>
        <v>#REF!</v>
      </c>
      <c r="BD38" t="e">
        <f>AND(#REF!,"AAAAAH+/vzc=")</f>
        <v>#REF!</v>
      </c>
      <c r="BE38" t="e">
        <f>AND(#REF!,"AAAAAH+/vzg=")</f>
        <v>#REF!</v>
      </c>
      <c r="BF38" t="e">
        <f>AND(#REF!,"AAAAAH+/vzk=")</f>
        <v>#REF!</v>
      </c>
      <c r="BG38" t="e">
        <f>AND(#REF!,"AAAAAH+/vzo=")</f>
        <v>#REF!</v>
      </c>
      <c r="BH38" t="e">
        <f>AND(#REF!,"AAAAAH+/vzs=")</f>
        <v>#REF!</v>
      </c>
      <c r="BI38" t="e">
        <f>AND(#REF!,"AAAAAH+/vzw=")</f>
        <v>#REF!</v>
      </c>
      <c r="BJ38" t="e">
        <f>AND(#REF!,"AAAAAH+/vz0=")</f>
        <v>#REF!</v>
      </c>
      <c r="BK38" t="e">
        <f>IF(#REF!,"AAAAAH+/vz4=",0)</f>
        <v>#REF!</v>
      </c>
      <c r="BL38" t="e">
        <f>AND(#REF!,"AAAAAH+/vz8=")</f>
        <v>#REF!</v>
      </c>
      <c r="BM38" t="e">
        <f>AND(#REF!,"AAAAAH+/v0A=")</f>
        <v>#REF!</v>
      </c>
      <c r="BN38" t="e">
        <f>AND(#REF!,"AAAAAH+/v0E=")</f>
        <v>#REF!</v>
      </c>
      <c r="BO38" t="e">
        <f>AND(#REF!,"AAAAAH+/v0I=")</f>
        <v>#REF!</v>
      </c>
      <c r="BP38" t="e">
        <f>AND(#REF!,"AAAAAH+/v0M=")</f>
        <v>#REF!</v>
      </c>
      <c r="BQ38" t="e">
        <f>AND(#REF!,"AAAAAH+/v0Q=")</f>
        <v>#REF!</v>
      </c>
      <c r="BR38" t="e">
        <f>AND(#REF!,"AAAAAH+/v0U=")</f>
        <v>#REF!</v>
      </c>
      <c r="BS38" t="e">
        <f>AND(#REF!,"AAAAAH+/v0Y=")</f>
        <v>#REF!</v>
      </c>
      <c r="BT38" t="e">
        <f>AND(#REF!,"AAAAAH+/v0c=")</f>
        <v>#REF!</v>
      </c>
      <c r="BU38" t="e">
        <f>AND(#REF!,"AAAAAH+/v0g=")</f>
        <v>#REF!</v>
      </c>
      <c r="BV38" t="e">
        <f>AND(#REF!,"AAAAAH+/v0k=")</f>
        <v>#REF!</v>
      </c>
      <c r="BW38" t="e">
        <f>AND(#REF!,"AAAAAH+/v0o=")</f>
        <v>#REF!</v>
      </c>
      <c r="BX38" t="e">
        <f>AND(#REF!,"AAAAAH+/v0s=")</f>
        <v>#REF!</v>
      </c>
      <c r="BY38" t="e">
        <f>AND(#REF!,"AAAAAH+/v0w=")</f>
        <v>#REF!</v>
      </c>
      <c r="BZ38" t="e">
        <f>AND(#REF!,"AAAAAH+/v00=")</f>
        <v>#REF!</v>
      </c>
      <c r="CA38" t="e">
        <f>AND(#REF!,"AAAAAH+/v04=")</f>
        <v>#REF!</v>
      </c>
      <c r="CB38" t="e">
        <f>AND(#REF!,"AAAAAH+/v08=")</f>
        <v>#REF!</v>
      </c>
      <c r="CC38" t="e">
        <f>AND(#REF!,"AAAAAH+/v1A=")</f>
        <v>#REF!</v>
      </c>
      <c r="CD38" t="e">
        <f>IF(#REF!,"AAAAAH+/v1E=",0)</f>
        <v>#REF!</v>
      </c>
      <c r="CE38" t="e">
        <f>AND(#REF!,"AAAAAH+/v1I=")</f>
        <v>#REF!</v>
      </c>
      <c r="CF38" t="e">
        <f>AND(#REF!,"AAAAAH+/v1M=")</f>
        <v>#REF!</v>
      </c>
      <c r="CG38" t="e">
        <f>AND(#REF!,"AAAAAH+/v1Q=")</f>
        <v>#REF!</v>
      </c>
      <c r="CH38" t="e">
        <f>AND(#REF!,"AAAAAH+/v1U=")</f>
        <v>#REF!</v>
      </c>
      <c r="CI38" t="e">
        <f>AND(#REF!,"AAAAAH+/v1Y=")</f>
        <v>#REF!</v>
      </c>
      <c r="CJ38" t="e">
        <f>AND(#REF!,"AAAAAH+/v1c=")</f>
        <v>#REF!</v>
      </c>
      <c r="CK38" t="e">
        <f>AND(#REF!,"AAAAAH+/v1g=")</f>
        <v>#REF!</v>
      </c>
      <c r="CL38" t="e">
        <f>AND(#REF!,"AAAAAH+/v1k=")</f>
        <v>#REF!</v>
      </c>
      <c r="CM38" t="e">
        <f>AND(#REF!,"AAAAAH+/v1o=")</f>
        <v>#REF!</v>
      </c>
      <c r="CN38" t="e">
        <f>AND(#REF!,"AAAAAH+/v1s=")</f>
        <v>#REF!</v>
      </c>
      <c r="CO38" t="e">
        <f>AND(#REF!,"AAAAAH+/v1w=")</f>
        <v>#REF!</v>
      </c>
      <c r="CP38" t="e">
        <f>AND(#REF!,"AAAAAH+/v10=")</f>
        <v>#REF!</v>
      </c>
      <c r="CQ38" t="e">
        <f>AND(#REF!,"AAAAAH+/v14=")</f>
        <v>#REF!</v>
      </c>
      <c r="CR38" t="e">
        <f>AND(#REF!,"AAAAAH+/v18=")</f>
        <v>#REF!</v>
      </c>
      <c r="CS38" t="e">
        <f>AND(#REF!,"AAAAAH+/v2A=")</f>
        <v>#REF!</v>
      </c>
      <c r="CT38" t="e">
        <f>AND(#REF!,"AAAAAH+/v2E=")</f>
        <v>#REF!</v>
      </c>
      <c r="CU38" t="e">
        <f>AND(#REF!,"AAAAAH+/v2I=")</f>
        <v>#REF!</v>
      </c>
      <c r="CV38" t="e">
        <f>AND(#REF!,"AAAAAH+/v2M=")</f>
        <v>#REF!</v>
      </c>
      <c r="CW38" t="e">
        <f>IF(#REF!,"AAAAAH+/v2Q=",0)</f>
        <v>#REF!</v>
      </c>
      <c r="CX38" t="e">
        <f>AND(#REF!,"AAAAAH+/v2U=")</f>
        <v>#REF!</v>
      </c>
      <c r="CY38" t="e">
        <f>AND(#REF!,"AAAAAH+/v2Y=")</f>
        <v>#REF!</v>
      </c>
      <c r="CZ38" t="e">
        <f>AND(#REF!,"AAAAAH+/v2c=")</f>
        <v>#REF!</v>
      </c>
      <c r="DA38" t="e">
        <f>AND(#REF!,"AAAAAH+/v2g=")</f>
        <v>#REF!</v>
      </c>
      <c r="DB38" t="e">
        <f>AND(#REF!,"AAAAAH+/v2k=")</f>
        <v>#REF!</v>
      </c>
      <c r="DC38" t="e">
        <f>AND(#REF!,"AAAAAH+/v2o=")</f>
        <v>#REF!</v>
      </c>
      <c r="DD38" t="e">
        <f>AND(#REF!,"AAAAAH+/v2s=")</f>
        <v>#REF!</v>
      </c>
      <c r="DE38" t="e">
        <f>AND(#REF!,"AAAAAH+/v2w=")</f>
        <v>#REF!</v>
      </c>
      <c r="DF38" t="e">
        <f>AND(#REF!,"AAAAAH+/v20=")</f>
        <v>#REF!</v>
      </c>
      <c r="DG38" t="e">
        <f>AND(#REF!,"AAAAAH+/v24=")</f>
        <v>#REF!</v>
      </c>
      <c r="DH38" t="e">
        <f>AND(#REF!,"AAAAAH+/v28=")</f>
        <v>#REF!</v>
      </c>
      <c r="DI38" t="e">
        <f>AND(#REF!,"AAAAAH+/v3A=")</f>
        <v>#REF!</v>
      </c>
      <c r="DJ38" t="e">
        <f>AND(#REF!,"AAAAAH+/v3E=")</f>
        <v>#REF!</v>
      </c>
      <c r="DK38" t="e">
        <f>AND(#REF!,"AAAAAH+/v3I=")</f>
        <v>#REF!</v>
      </c>
      <c r="DL38" t="e">
        <f>AND(#REF!,"AAAAAH+/v3M=")</f>
        <v>#REF!</v>
      </c>
      <c r="DM38" t="e">
        <f>AND(#REF!,"AAAAAH+/v3Q=")</f>
        <v>#REF!</v>
      </c>
      <c r="DN38" t="e">
        <f>AND(#REF!,"AAAAAH+/v3U=")</f>
        <v>#REF!</v>
      </c>
      <c r="DO38" t="e">
        <f>AND(#REF!,"AAAAAH+/v3Y=")</f>
        <v>#REF!</v>
      </c>
      <c r="DP38" t="e">
        <f>IF(#REF!,"AAAAAH+/v3c=",0)</f>
        <v>#REF!</v>
      </c>
      <c r="DQ38" t="e">
        <f>AND(#REF!,"AAAAAH+/v3g=")</f>
        <v>#REF!</v>
      </c>
      <c r="DR38" t="e">
        <f>AND(#REF!,"AAAAAH+/v3k=")</f>
        <v>#REF!</v>
      </c>
      <c r="DS38" t="e">
        <f>AND(#REF!,"AAAAAH+/v3o=")</f>
        <v>#REF!</v>
      </c>
      <c r="DT38" t="e">
        <f>AND(#REF!,"AAAAAH+/v3s=")</f>
        <v>#REF!</v>
      </c>
      <c r="DU38" t="e">
        <f>AND(#REF!,"AAAAAH+/v3w=")</f>
        <v>#REF!</v>
      </c>
      <c r="DV38" t="e">
        <f>AND(#REF!,"AAAAAH+/v30=")</f>
        <v>#REF!</v>
      </c>
      <c r="DW38" t="e">
        <f>AND(#REF!,"AAAAAH+/v34=")</f>
        <v>#REF!</v>
      </c>
      <c r="DX38" t="e">
        <f>AND(#REF!,"AAAAAH+/v38=")</f>
        <v>#REF!</v>
      </c>
      <c r="DY38" t="e">
        <f>AND(#REF!,"AAAAAH+/v4A=")</f>
        <v>#REF!</v>
      </c>
      <c r="DZ38" t="e">
        <f>AND(#REF!,"AAAAAH+/v4E=")</f>
        <v>#REF!</v>
      </c>
      <c r="EA38" t="e">
        <f>AND(#REF!,"AAAAAH+/v4I=")</f>
        <v>#REF!</v>
      </c>
      <c r="EB38" t="e">
        <f>AND(#REF!,"AAAAAH+/v4M=")</f>
        <v>#REF!</v>
      </c>
      <c r="EC38" t="e">
        <f>AND(#REF!,"AAAAAH+/v4Q=")</f>
        <v>#REF!</v>
      </c>
      <c r="ED38" t="e">
        <f>AND(#REF!,"AAAAAH+/v4U=")</f>
        <v>#REF!</v>
      </c>
      <c r="EE38" t="e">
        <f>AND(#REF!,"AAAAAH+/v4Y=")</f>
        <v>#REF!</v>
      </c>
      <c r="EF38" t="e">
        <f>AND(#REF!,"AAAAAH+/v4c=")</f>
        <v>#REF!</v>
      </c>
      <c r="EG38" t="e">
        <f>AND(#REF!,"AAAAAH+/v4g=")</f>
        <v>#REF!</v>
      </c>
      <c r="EH38" t="e">
        <f>AND(#REF!,"AAAAAH+/v4k=")</f>
        <v>#REF!</v>
      </c>
      <c r="EI38" t="e">
        <f>IF(#REF!,"AAAAAH+/v4o=",0)</f>
        <v>#REF!</v>
      </c>
      <c r="EJ38" t="e">
        <f>AND(#REF!,"AAAAAH+/v4s=")</f>
        <v>#REF!</v>
      </c>
      <c r="EK38" t="e">
        <f>AND(#REF!,"AAAAAH+/v4w=")</f>
        <v>#REF!</v>
      </c>
      <c r="EL38" t="e">
        <f>AND(#REF!,"AAAAAH+/v40=")</f>
        <v>#REF!</v>
      </c>
      <c r="EM38" t="e">
        <f>AND(#REF!,"AAAAAH+/v44=")</f>
        <v>#REF!</v>
      </c>
      <c r="EN38" t="e">
        <f>AND(#REF!,"AAAAAH+/v48=")</f>
        <v>#REF!</v>
      </c>
      <c r="EO38" t="e">
        <f>AND(#REF!,"AAAAAH+/v5A=")</f>
        <v>#REF!</v>
      </c>
      <c r="EP38" t="e">
        <f>AND(#REF!,"AAAAAH+/v5E=")</f>
        <v>#REF!</v>
      </c>
      <c r="EQ38" t="e">
        <f>AND(#REF!,"AAAAAH+/v5I=")</f>
        <v>#REF!</v>
      </c>
      <c r="ER38" t="e">
        <f>AND(#REF!,"AAAAAH+/v5M=")</f>
        <v>#REF!</v>
      </c>
      <c r="ES38" t="e">
        <f>AND(#REF!,"AAAAAH+/v5Q=")</f>
        <v>#REF!</v>
      </c>
      <c r="ET38" t="e">
        <f>AND(#REF!,"AAAAAH+/v5U=")</f>
        <v>#REF!</v>
      </c>
      <c r="EU38" t="e">
        <f>AND(#REF!,"AAAAAH+/v5Y=")</f>
        <v>#REF!</v>
      </c>
      <c r="EV38" t="e">
        <f>AND(#REF!,"AAAAAH+/v5c=")</f>
        <v>#REF!</v>
      </c>
      <c r="EW38" t="e">
        <f>AND(#REF!,"AAAAAH+/v5g=")</f>
        <v>#REF!</v>
      </c>
      <c r="EX38" t="e">
        <f>AND(#REF!,"AAAAAH+/v5k=")</f>
        <v>#REF!</v>
      </c>
      <c r="EY38" t="e">
        <f>AND(#REF!,"AAAAAH+/v5o=")</f>
        <v>#REF!</v>
      </c>
      <c r="EZ38" t="e">
        <f>AND(#REF!,"AAAAAH+/v5s=")</f>
        <v>#REF!</v>
      </c>
      <c r="FA38" t="e">
        <f>AND(#REF!,"AAAAAH+/v5w=")</f>
        <v>#REF!</v>
      </c>
      <c r="FB38" t="e">
        <f>IF(#REF!,"AAAAAH+/v50=",0)</f>
        <v>#REF!</v>
      </c>
      <c r="FC38" t="e">
        <f>AND(#REF!,"AAAAAH+/v54=")</f>
        <v>#REF!</v>
      </c>
      <c r="FD38" t="e">
        <f>AND(#REF!,"AAAAAH+/v58=")</f>
        <v>#REF!</v>
      </c>
      <c r="FE38" t="e">
        <f>AND(#REF!,"AAAAAH+/v6A=")</f>
        <v>#REF!</v>
      </c>
      <c r="FF38" t="e">
        <f>AND(#REF!,"AAAAAH+/v6E=")</f>
        <v>#REF!</v>
      </c>
      <c r="FG38" t="e">
        <f>AND(#REF!,"AAAAAH+/v6I=")</f>
        <v>#REF!</v>
      </c>
      <c r="FH38" t="e">
        <f>AND(#REF!,"AAAAAH+/v6M=")</f>
        <v>#REF!</v>
      </c>
      <c r="FI38" t="e">
        <f>AND(#REF!,"AAAAAH+/v6Q=")</f>
        <v>#REF!</v>
      </c>
      <c r="FJ38" t="e">
        <f>AND(#REF!,"AAAAAH+/v6U=")</f>
        <v>#REF!</v>
      </c>
      <c r="FK38" t="e">
        <f>AND(#REF!,"AAAAAH+/v6Y=")</f>
        <v>#REF!</v>
      </c>
      <c r="FL38" t="e">
        <f>AND(#REF!,"AAAAAH+/v6c=")</f>
        <v>#REF!</v>
      </c>
      <c r="FM38" t="e">
        <f>AND(#REF!,"AAAAAH+/v6g=")</f>
        <v>#REF!</v>
      </c>
      <c r="FN38" t="e">
        <f>AND(#REF!,"AAAAAH+/v6k=")</f>
        <v>#REF!</v>
      </c>
      <c r="FO38" t="e">
        <f>AND(#REF!,"AAAAAH+/v6o=")</f>
        <v>#REF!</v>
      </c>
      <c r="FP38" t="e">
        <f>AND(#REF!,"AAAAAH+/v6s=")</f>
        <v>#REF!</v>
      </c>
      <c r="FQ38" t="e">
        <f>AND(#REF!,"AAAAAH+/v6w=")</f>
        <v>#REF!</v>
      </c>
      <c r="FR38" t="e">
        <f>AND(#REF!,"AAAAAH+/v60=")</f>
        <v>#REF!</v>
      </c>
      <c r="FS38" t="e">
        <f>AND(#REF!,"AAAAAH+/v64=")</f>
        <v>#REF!</v>
      </c>
      <c r="FT38" t="e">
        <f>AND(#REF!,"AAAAAH+/v68=")</f>
        <v>#REF!</v>
      </c>
      <c r="FU38" t="e">
        <f>IF(#REF!,"AAAAAH+/v7A=",0)</f>
        <v>#REF!</v>
      </c>
      <c r="FV38" t="e">
        <f>AND(#REF!,"AAAAAH+/v7E=")</f>
        <v>#REF!</v>
      </c>
      <c r="FW38" t="e">
        <f>AND(#REF!,"AAAAAH+/v7I=")</f>
        <v>#REF!</v>
      </c>
      <c r="FX38" t="e">
        <f>AND(#REF!,"AAAAAH+/v7M=")</f>
        <v>#REF!</v>
      </c>
      <c r="FY38" t="e">
        <f>AND(#REF!,"AAAAAH+/v7Q=")</f>
        <v>#REF!</v>
      </c>
      <c r="FZ38" t="e">
        <f>AND(#REF!,"AAAAAH+/v7U=")</f>
        <v>#REF!</v>
      </c>
      <c r="GA38" t="e">
        <f>AND(#REF!,"AAAAAH+/v7Y=")</f>
        <v>#REF!</v>
      </c>
      <c r="GB38" t="e">
        <f>AND(#REF!,"AAAAAH+/v7c=")</f>
        <v>#REF!</v>
      </c>
      <c r="GC38" t="e">
        <f>AND(#REF!,"AAAAAH+/v7g=")</f>
        <v>#REF!</v>
      </c>
      <c r="GD38" t="e">
        <f>AND(#REF!,"AAAAAH+/v7k=")</f>
        <v>#REF!</v>
      </c>
      <c r="GE38" t="e">
        <f>AND(#REF!,"AAAAAH+/v7o=")</f>
        <v>#REF!</v>
      </c>
      <c r="GF38" t="e">
        <f>AND(#REF!,"AAAAAH+/v7s=")</f>
        <v>#REF!</v>
      </c>
      <c r="GG38" t="e">
        <f>AND(#REF!,"AAAAAH+/v7w=")</f>
        <v>#REF!</v>
      </c>
      <c r="GH38" t="e">
        <f>AND(#REF!,"AAAAAH+/v70=")</f>
        <v>#REF!</v>
      </c>
      <c r="GI38" t="e">
        <f>AND(#REF!,"AAAAAH+/v74=")</f>
        <v>#REF!</v>
      </c>
      <c r="GJ38" t="e">
        <f>AND(#REF!,"AAAAAH+/v78=")</f>
        <v>#REF!</v>
      </c>
      <c r="GK38" t="e">
        <f>AND(#REF!,"AAAAAH+/v8A=")</f>
        <v>#REF!</v>
      </c>
      <c r="GL38" t="e">
        <f>AND(#REF!,"AAAAAH+/v8E=")</f>
        <v>#REF!</v>
      </c>
      <c r="GM38" t="e">
        <f>AND(#REF!,"AAAAAH+/v8I=")</f>
        <v>#REF!</v>
      </c>
      <c r="GN38" t="e">
        <f>IF(#REF!,"AAAAAH+/v8M=",0)</f>
        <v>#REF!</v>
      </c>
      <c r="GO38" t="e">
        <f>AND(#REF!,"AAAAAH+/v8Q=")</f>
        <v>#REF!</v>
      </c>
      <c r="GP38" t="e">
        <f>AND(#REF!,"AAAAAH+/v8U=")</f>
        <v>#REF!</v>
      </c>
      <c r="GQ38" t="e">
        <f>AND(#REF!,"AAAAAH+/v8Y=")</f>
        <v>#REF!</v>
      </c>
      <c r="GR38" t="e">
        <f>AND(#REF!,"AAAAAH+/v8c=")</f>
        <v>#REF!</v>
      </c>
      <c r="GS38" t="e">
        <f>AND(#REF!,"AAAAAH+/v8g=")</f>
        <v>#REF!</v>
      </c>
      <c r="GT38" t="e">
        <f>AND(#REF!,"AAAAAH+/v8k=")</f>
        <v>#REF!</v>
      </c>
      <c r="GU38" t="e">
        <f>AND(#REF!,"AAAAAH+/v8o=")</f>
        <v>#REF!</v>
      </c>
      <c r="GV38" t="e">
        <f>AND(#REF!,"AAAAAH+/v8s=")</f>
        <v>#REF!</v>
      </c>
      <c r="GW38" t="e">
        <f>AND(#REF!,"AAAAAH+/v8w=")</f>
        <v>#REF!</v>
      </c>
      <c r="GX38" t="e">
        <f>AND(#REF!,"AAAAAH+/v80=")</f>
        <v>#REF!</v>
      </c>
      <c r="GY38" t="e">
        <f>AND(#REF!,"AAAAAH+/v84=")</f>
        <v>#REF!</v>
      </c>
      <c r="GZ38" t="e">
        <f>AND(#REF!,"AAAAAH+/v88=")</f>
        <v>#REF!</v>
      </c>
      <c r="HA38" t="e">
        <f>AND(#REF!,"AAAAAH+/v9A=")</f>
        <v>#REF!</v>
      </c>
      <c r="HB38" t="e">
        <f>AND(#REF!,"AAAAAH+/v9E=")</f>
        <v>#REF!</v>
      </c>
      <c r="HC38" t="e">
        <f>AND(#REF!,"AAAAAH+/v9I=")</f>
        <v>#REF!</v>
      </c>
      <c r="HD38" t="e">
        <f>AND(#REF!,"AAAAAH+/v9M=")</f>
        <v>#REF!</v>
      </c>
      <c r="HE38" t="e">
        <f>AND(#REF!,"AAAAAH+/v9Q=")</f>
        <v>#REF!</v>
      </c>
      <c r="HF38" t="e">
        <f>AND(#REF!,"AAAAAH+/v9U=")</f>
        <v>#REF!</v>
      </c>
      <c r="HG38" t="e">
        <f>IF(#REF!,"AAAAAH+/v9Y=",0)</f>
        <v>#REF!</v>
      </c>
      <c r="HH38" t="e">
        <f>AND(#REF!,"AAAAAH+/v9c=")</f>
        <v>#REF!</v>
      </c>
      <c r="HI38" t="e">
        <f>AND(#REF!,"AAAAAH+/v9g=")</f>
        <v>#REF!</v>
      </c>
      <c r="HJ38" t="e">
        <f>AND(#REF!,"AAAAAH+/v9k=")</f>
        <v>#REF!</v>
      </c>
      <c r="HK38" t="e">
        <f>AND(#REF!,"AAAAAH+/v9o=")</f>
        <v>#REF!</v>
      </c>
      <c r="HL38" t="e">
        <f>AND(#REF!,"AAAAAH+/v9s=")</f>
        <v>#REF!</v>
      </c>
      <c r="HM38" t="e">
        <f>AND(#REF!,"AAAAAH+/v9w=")</f>
        <v>#REF!</v>
      </c>
      <c r="HN38" t="e">
        <f>AND(#REF!,"AAAAAH+/v90=")</f>
        <v>#REF!</v>
      </c>
      <c r="HO38" t="e">
        <f>AND(#REF!,"AAAAAH+/v94=")</f>
        <v>#REF!</v>
      </c>
      <c r="HP38" t="e">
        <f>AND(#REF!,"AAAAAH+/v98=")</f>
        <v>#REF!</v>
      </c>
      <c r="HQ38" t="e">
        <f>AND(#REF!,"AAAAAH+/v+A=")</f>
        <v>#REF!</v>
      </c>
      <c r="HR38" t="e">
        <f>AND(#REF!,"AAAAAH+/v+E=")</f>
        <v>#REF!</v>
      </c>
      <c r="HS38" t="e">
        <f>AND(#REF!,"AAAAAH+/v+I=")</f>
        <v>#REF!</v>
      </c>
      <c r="HT38" t="e">
        <f>AND(#REF!,"AAAAAH+/v+M=")</f>
        <v>#REF!</v>
      </c>
      <c r="HU38" t="e">
        <f>AND(#REF!,"AAAAAH+/v+Q=")</f>
        <v>#REF!</v>
      </c>
      <c r="HV38" t="e">
        <f>AND(#REF!,"AAAAAH+/v+U=")</f>
        <v>#REF!</v>
      </c>
      <c r="HW38" t="e">
        <f>AND(#REF!,"AAAAAH+/v+Y=")</f>
        <v>#REF!</v>
      </c>
      <c r="HX38" t="e">
        <f>AND(#REF!,"AAAAAH+/v+c=")</f>
        <v>#REF!</v>
      </c>
      <c r="HY38" t="e">
        <f>AND(#REF!,"AAAAAH+/v+g=")</f>
        <v>#REF!</v>
      </c>
      <c r="HZ38" t="e">
        <f>IF(#REF!,"AAAAAH+/v+k=",0)</f>
        <v>#REF!</v>
      </c>
      <c r="IA38" t="e">
        <f>AND(#REF!,"AAAAAH+/v+o=")</f>
        <v>#REF!</v>
      </c>
      <c r="IB38" t="e">
        <f>AND(#REF!,"AAAAAH+/v+s=")</f>
        <v>#REF!</v>
      </c>
      <c r="IC38" t="e">
        <f>AND(#REF!,"AAAAAH+/v+w=")</f>
        <v>#REF!</v>
      </c>
      <c r="ID38" t="e">
        <f>AND(#REF!,"AAAAAH+/v+0=")</f>
        <v>#REF!</v>
      </c>
      <c r="IE38" t="e">
        <f>AND(#REF!,"AAAAAH+/v+4=")</f>
        <v>#REF!</v>
      </c>
      <c r="IF38" t="e">
        <f>AND(#REF!,"AAAAAH+/v+8=")</f>
        <v>#REF!</v>
      </c>
      <c r="IG38" t="e">
        <f>AND(#REF!,"AAAAAH+/v/A=")</f>
        <v>#REF!</v>
      </c>
      <c r="IH38" t="e">
        <f>AND(#REF!,"AAAAAH+/v/E=")</f>
        <v>#REF!</v>
      </c>
      <c r="II38" t="e">
        <f>AND(#REF!,"AAAAAH+/v/I=")</f>
        <v>#REF!</v>
      </c>
      <c r="IJ38" t="e">
        <f>AND(#REF!,"AAAAAH+/v/M=")</f>
        <v>#REF!</v>
      </c>
      <c r="IK38" t="e">
        <f>AND(#REF!,"AAAAAH+/v/Q=")</f>
        <v>#REF!</v>
      </c>
      <c r="IL38" t="e">
        <f>AND(#REF!,"AAAAAH+/v/U=")</f>
        <v>#REF!</v>
      </c>
      <c r="IM38" t="e">
        <f>AND(#REF!,"AAAAAH+/v/Y=")</f>
        <v>#REF!</v>
      </c>
      <c r="IN38" t="e">
        <f>AND(#REF!,"AAAAAH+/v/c=")</f>
        <v>#REF!</v>
      </c>
      <c r="IO38" t="e">
        <f>AND(#REF!,"AAAAAH+/v/g=")</f>
        <v>#REF!</v>
      </c>
      <c r="IP38" t="e">
        <f>AND(#REF!,"AAAAAH+/v/k=")</f>
        <v>#REF!</v>
      </c>
      <c r="IQ38" t="e">
        <f>AND(#REF!,"AAAAAH+/v/o=")</f>
        <v>#REF!</v>
      </c>
      <c r="IR38" t="e">
        <f>AND(#REF!,"AAAAAH+/v/s=")</f>
        <v>#REF!</v>
      </c>
      <c r="IS38" t="e">
        <f>IF(#REF!,"AAAAAH+/v/w=",0)</f>
        <v>#REF!</v>
      </c>
      <c r="IT38" t="e">
        <f>AND(#REF!,"AAAAAH+/v/0=")</f>
        <v>#REF!</v>
      </c>
      <c r="IU38" t="e">
        <f>AND(#REF!,"AAAAAH+/v/4=")</f>
        <v>#REF!</v>
      </c>
      <c r="IV38" t="e">
        <f>AND(#REF!,"AAAAAH+/v/8=")</f>
        <v>#REF!</v>
      </c>
    </row>
    <row r="39" spans="1:256" x14ac:dyDescent="0.15">
      <c r="A39" t="e">
        <f>AND(#REF!,"AAAAAGv16gA=")</f>
        <v>#REF!</v>
      </c>
      <c r="B39" t="e">
        <f>AND(#REF!,"AAAAAGv16gE=")</f>
        <v>#REF!</v>
      </c>
      <c r="C39" t="e">
        <f>AND(#REF!,"AAAAAGv16gI=")</f>
        <v>#REF!</v>
      </c>
      <c r="D39" t="e">
        <f>AND(#REF!,"AAAAAGv16gM=")</f>
        <v>#REF!</v>
      </c>
      <c r="E39" t="e">
        <f>AND(#REF!,"AAAAAGv16gQ=")</f>
        <v>#REF!</v>
      </c>
      <c r="F39" t="e">
        <f>AND(#REF!,"AAAAAGv16gU=")</f>
        <v>#REF!</v>
      </c>
      <c r="G39" t="e">
        <f>AND(#REF!,"AAAAAGv16gY=")</f>
        <v>#REF!</v>
      </c>
      <c r="H39" t="e">
        <f>AND(#REF!,"AAAAAGv16gc=")</f>
        <v>#REF!</v>
      </c>
      <c r="I39" t="e">
        <f>AND(#REF!,"AAAAAGv16gg=")</f>
        <v>#REF!</v>
      </c>
      <c r="J39" t="e">
        <f>AND(#REF!,"AAAAAGv16gk=")</f>
        <v>#REF!</v>
      </c>
      <c r="K39" t="e">
        <f>AND(#REF!,"AAAAAGv16go=")</f>
        <v>#REF!</v>
      </c>
      <c r="L39" t="e">
        <f>AND(#REF!,"AAAAAGv16gs=")</f>
        <v>#REF!</v>
      </c>
      <c r="M39" t="e">
        <f>AND(#REF!,"AAAAAGv16gw=")</f>
        <v>#REF!</v>
      </c>
      <c r="N39" t="e">
        <f>AND(#REF!,"AAAAAGv16g0=")</f>
        <v>#REF!</v>
      </c>
      <c r="O39" t="e">
        <f>AND(#REF!,"AAAAAGv16g4=")</f>
        <v>#REF!</v>
      </c>
      <c r="P39" t="e">
        <f>IF(#REF!,"AAAAAGv16g8=",0)</f>
        <v>#REF!</v>
      </c>
      <c r="Q39" t="e">
        <f>AND(#REF!,"AAAAAGv16hA=")</f>
        <v>#REF!</v>
      </c>
      <c r="R39" t="e">
        <f>AND(#REF!,"AAAAAGv16hE=")</f>
        <v>#REF!</v>
      </c>
      <c r="S39" t="e">
        <f>AND(#REF!,"AAAAAGv16hI=")</f>
        <v>#REF!</v>
      </c>
      <c r="T39" t="e">
        <f>AND(#REF!,"AAAAAGv16hM=")</f>
        <v>#REF!</v>
      </c>
      <c r="U39" t="e">
        <f>AND(#REF!,"AAAAAGv16hQ=")</f>
        <v>#REF!</v>
      </c>
      <c r="V39" t="e">
        <f>AND(#REF!,"AAAAAGv16hU=")</f>
        <v>#REF!</v>
      </c>
      <c r="W39" t="e">
        <f>AND(#REF!,"AAAAAGv16hY=")</f>
        <v>#REF!</v>
      </c>
      <c r="X39" t="e">
        <f>AND(#REF!,"AAAAAGv16hc=")</f>
        <v>#REF!</v>
      </c>
      <c r="Y39" t="e">
        <f>AND(#REF!,"AAAAAGv16hg=")</f>
        <v>#REF!</v>
      </c>
      <c r="Z39" t="e">
        <f>AND(#REF!,"AAAAAGv16hk=")</f>
        <v>#REF!</v>
      </c>
      <c r="AA39" t="e">
        <f>AND(#REF!,"AAAAAGv16ho=")</f>
        <v>#REF!</v>
      </c>
      <c r="AB39" t="e">
        <f>AND(#REF!,"AAAAAGv16hs=")</f>
        <v>#REF!</v>
      </c>
      <c r="AC39" t="e">
        <f>AND(#REF!,"AAAAAGv16hw=")</f>
        <v>#REF!</v>
      </c>
      <c r="AD39" t="e">
        <f>AND(#REF!,"AAAAAGv16h0=")</f>
        <v>#REF!</v>
      </c>
      <c r="AE39" t="e">
        <f>AND(#REF!,"AAAAAGv16h4=")</f>
        <v>#REF!</v>
      </c>
      <c r="AF39" t="e">
        <f>AND(#REF!,"AAAAAGv16h8=")</f>
        <v>#REF!</v>
      </c>
      <c r="AG39" t="e">
        <f>AND(#REF!,"AAAAAGv16iA=")</f>
        <v>#REF!</v>
      </c>
      <c r="AH39" t="e">
        <f>AND(#REF!,"AAAAAGv16iE=")</f>
        <v>#REF!</v>
      </c>
      <c r="AI39" t="e">
        <f>IF(#REF!,"AAAAAGv16iI=",0)</f>
        <v>#REF!</v>
      </c>
      <c r="AJ39" t="e">
        <f>AND(#REF!,"AAAAAGv16iM=")</f>
        <v>#REF!</v>
      </c>
      <c r="AK39" t="e">
        <f>AND(#REF!,"AAAAAGv16iQ=")</f>
        <v>#REF!</v>
      </c>
      <c r="AL39" t="e">
        <f>AND(#REF!,"AAAAAGv16iU=")</f>
        <v>#REF!</v>
      </c>
      <c r="AM39" t="e">
        <f>AND(#REF!,"AAAAAGv16iY=")</f>
        <v>#REF!</v>
      </c>
      <c r="AN39" t="e">
        <f>AND(#REF!,"AAAAAGv16ic=")</f>
        <v>#REF!</v>
      </c>
      <c r="AO39" t="e">
        <f>AND(#REF!,"AAAAAGv16ig=")</f>
        <v>#REF!</v>
      </c>
      <c r="AP39" t="e">
        <f>AND(#REF!,"AAAAAGv16ik=")</f>
        <v>#REF!</v>
      </c>
      <c r="AQ39" t="e">
        <f>AND(#REF!,"AAAAAGv16io=")</f>
        <v>#REF!</v>
      </c>
      <c r="AR39" t="e">
        <f>AND(#REF!,"AAAAAGv16is=")</f>
        <v>#REF!</v>
      </c>
      <c r="AS39" t="e">
        <f>AND(#REF!,"AAAAAGv16iw=")</f>
        <v>#REF!</v>
      </c>
      <c r="AT39" t="e">
        <f>AND(#REF!,"AAAAAGv16i0=")</f>
        <v>#REF!</v>
      </c>
      <c r="AU39" t="e">
        <f>AND(#REF!,"AAAAAGv16i4=")</f>
        <v>#REF!</v>
      </c>
      <c r="AV39" t="e">
        <f>AND(#REF!,"AAAAAGv16i8=")</f>
        <v>#REF!</v>
      </c>
      <c r="AW39" t="e">
        <f>AND(#REF!,"AAAAAGv16jA=")</f>
        <v>#REF!</v>
      </c>
      <c r="AX39" t="e">
        <f>AND(#REF!,"AAAAAGv16jE=")</f>
        <v>#REF!</v>
      </c>
      <c r="AY39" t="e">
        <f>AND(#REF!,"AAAAAGv16jI=")</f>
        <v>#REF!</v>
      </c>
      <c r="AZ39" t="e">
        <f>AND(#REF!,"AAAAAGv16jM=")</f>
        <v>#REF!</v>
      </c>
      <c r="BA39" t="e">
        <f>AND(#REF!,"AAAAAGv16jQ=")</f>
        <v>#REF!</v>
      </c>
      <c r="BB39" t="e">
        <f>IF(#REF!,"AAAAAGv16jU=",0)</f>
        <v>#REF!</v>
      </c>
      <c r="BC39" t="e">
        <f>AND(#REF!,"AAAAAGv16jY=")</f>
        <v>#REF!</v>
      </c>
      <c r="BD39" t="e">
        <f>AND(#REF!,"AAAAAGv16jc=")</f>
        <v>#REF!</v>
      </c>
      <c r="BE39" t="e">
        <f>AND(#REF!,"AAAAAGv16jg=")</f>
        <v>#REF!</v>
      </c>
      <c r="BF39" t="e">
        <f>AND(#REF!,"AAAAAGv16jk=")</f>
        <v>#REF!</v>
      </c>
      <c r="BG39" t="e">
        <f>AND(#REF!,"AAAAAGv16jo=")</f>
        <v>#REF!</v>
      </c>
      <c r="BH39" t="e">
        <f>AND(#REF!,"AAAAAGv16js=")</f>
        <v>#REF!</v>
      </c>
      <c r="BI39" t="e">
        <f>AND(#REF!,"AAAAAGv16jw=")</f>
        <v>#REF!</v>
      </c>
      <c r="BJ39" t="e">
        <f>AND(#REF!,"AAAAAGv16j0=")</f>
        <v>#REF!</v>
      </c>
      <c r="BK39" t="e">
        <f>AND(#REF!,"AAAAAGv16j4=")</f>
        <v>#REF!</v>
      </c>
      <c r="BL39" t="e">
        <f>AND(#REF!,"AAAAAGv16j8=")</f>
        <v>#REF!</v>
      </c>
      <c r="BM39" t="e">
        <f>AND(#REF!,"AAAAAGv16kA=")</f>
        <v>#REF!</v>
      </c>
      <c r="BN39" t="e">
        <f>AND(#REF!,"AAAAAGv16kE=")</f>
        <v>#REF!</v>
      </c>
      <c r="BO39" t="e">
        <f>AND(#REF!,"AAAAAGv16kI=")</f>
        <v>#REF!</v>
      </c>
      <c r="BP39" t="e">
        <f>AND(#REF!,"AAAAAGv16kM=")</f>
        <v>#REF!</v>
      </c>
      <c r="BQ39" t="e">
        <f>AND(#REF!,"AAAAAGv16kQ=")</f>
        <v>#REF!</v>
      </c>
      <c r="BR39" t="e">
        <f>AND(#REF!,"AAAAAGv16kU=")</f>
        <v>#REF!</v>
      </c>
      <c r="BS39" t="e">
        <f>AND(#REF!,"AAAAAGv16kY=")</f>
        <v>#REF!</v>
      </c>
      <c r="BT39" t="e">
        <f>AND(#REF!,"AAAAAGv16kc=")</f>
        <v>#REF!</v>
      </c>
      <c r="BU39" t="e">
        <f>IF(#REF!,"AAAAAGv16kg=",0)</f>
        <v>#REF!</v>
      </c>
      <c r="BV39" t="e">
        <f>AND(#REF!,"AAAAAGv16kk=")</f>
        <v>#REF!</v>
      </c>
      <c r="BW39" t="e">
        <f>AND(#REF!,"AAAAAGv16ko=")</f>
        <v>#REF!</v>
      </c>
      <c r="BX39" t="e">
        <f>AND(#REF!,"AAAAAGv16ks=")</f>
        <v>#REF!</v>
      </c>
      <c r="BY39" t="e">
        <f>AND(#REF!,"AAAAAGv16kw=")</f>
        <v>#REF!</v>
      </c>
      <c r="BZ39" t="e">
        <f>AND(#REF!,"AAAAAGv16k0=")</f>
        <v>#REF!</v>
      </c>
      <c r="CA39" t="e">
        <f>AND(#REF!,"AAAAAGv16k4=")</f>
        <v>#REF!</v>
      </c>
      <c r="CB39" t="e">
        <f>AND(#REF!,"AAAAAGv16k8=")</f>
        <v>#REF!</v>
      </c>
      <c r="CC39" t="e">
        <f>AND(#REF!,"AAAAAGv16lA=")</f>
        <v>#REF!</v>
      </c>
      <c r="CD39" t="e">
        <f>AND(#REF!,"AAAAAGv16lE=")</f>
        <v>#REF!</v>
      </c>
      <c r="CE39" t="e">
        <f>AND(#REF!,"AAAAAGv16lI=")</f>
        <v>#REF!</v>
      </c>
      <c r="CF39" t="e">
        <f>AND(#REF!,"AAAAAGv16lM=")</f>
        <v>#REF!</v>
      </c>
      <c r="CG39" t="e">
        <f>AND(#REF!,"AAAAAGv16lQ=")</f>
        <v>#REF!</v>
      </c>
      <c r="CH39" t="e">
        <f>AND(#REF!,"AAAAAGv16lU=")</f>
        <v>#REF!</v>
      </c>
      <c r="CI39" t="e">
        <f>AND(#REF!,"AAAAAGv16lY=")</f>
        <v>#REF!</v>
      </c>
      <c r="CJ39" t="e">
        <f>AND(#REF!,"AAAAAGv16lc=")</f>
        <v>#REF!</v>
      </c>
      <c r="CK39" t="e">
        <f>AND(#REF!,"AAAAAGv16lg=")</f>
        <v>#REF!</v>
      </c>
      <c r="CL39" t="e">
        <f>AND(#REF!,"AAAAAGv16lk=")</f>
        <v>#REF!</v>
      </c>
      <c r="CM39" t="e">
        <f>AND(#REF!,"AAAAAGv16lo=")</f>
        <v>#REF!</v>
      </c>
      <c r="CN39" t="e">
        <f>IF(#REF!,"AAAAAGv16ls=",0)</f>
        <v>#REF!</v>
      </c>
      <c r="CO39" t="e">
        <f>AND(#REF!,"AAAAAGv16lw=")</f>
        <v>#REF!</v>
      </c>
      <c r="CP39" t="e">
        <f>AND(#REF!,"AAAAAGv16l0=")</f>
        <v>#REF!</v>
      </c>
      <c r="CQ39" t="e">
        <f>AND(#REF!,"AAAAAGv16l4=")</f>
        <v>#REF!</v>
      </c>
      <c r="CR39" t="e">
        <f>AND(#REF!,"AAAAAGv16l8=")</f>
        <v>#REF!</v>
      </c>
      <c r="CS39" t="e">
        <f>AND(#REF!,"AAAAAGv16mA=")</f>
        <v>#REF!</v>
      </c>
      <c r="CT39" t="e">
        <f>AND(#REF!,"AAAAAGv16mE=")</f>
        <v>#REF!</v>
      </c>
      <c r="CU39" t="e">
        <f>AND(#REF!,"AAAAAGv16mI=")</f>
        <v>#REF!</v>
      </c>
      <c r="CV39" t="e">
        <f>AND(#REF!,"AAAAAGv16mM=")</f>
        <v>#REF!</v>
      </c>
      <c r="CW39" t="e">
        <f>AND(#REF!,"AAAAAGv16mQ=")</f>
        <v>#REF!</v>
      </c>
      <c r="CX39" t="e">
        <f>AND(#REF!,"AAAAAGv16mU=")</f>
        <v>#REF!</v>
      </c>
      <c r="CY39" t="e">
        <f>AND(#REF!,"AAAAAGv16mY=")</f>
        <v>#REF!</v>
      </c>
      <c r="CZ39" t="e">
        <f>AND(#REF!,"AAAAAGv16mc=")</f>
        <v>#REF!</v>
      </c>
      <c r="DA39" t="e">
        <f>AND(#REF!,"AAAAAGv16mg=")</f>
        <v>#REF!</v>
      </c>
      <c r="DB39" t="e">
        <f>AND(#REF!,"AAAAAGv16mk=")</f>
        <v>#REF!</v>
      </c>
      <c r="DC39" t="e">
        <f>AND(#REF!,"AAAAAGv16mo=")</f>
        <v>#REF!</v>
      </c>
      <c r="DD39" t="e">
        <f>AND(#REF!,"AAAAAGv16ms=")</f>
        <v>#REF!</v>
      </c>
      <c r="DE39" t="e">
        <f>AND(#REF!,"AAAAAGv16mw=")</f>
        <v>#REF!</v>
      </c>
      <c r="DF39" t="e">
        <f>AND(#REF!,"AAAAAGv16m0=")</f>
        <v>#REF!</v>
      </c>
      <c r="DG39" t="e">
        <f>IF(#REF!,"AAAAAGv16m4=",0)</f>
        <v>#REF!</v>
      </c>
      <c r="DH39" t="e">
        <f>AND(#REF!,"AAAAAGv16m8=")</f>
        <v>#REF!</v>
      </c>
      <c r="DI39" t="e">
        <f>AND(#REF!,"AAAAAGv16nA=")</f>
        <v>#REF!</v>
      </c>
      <c r="DJ39" t="e">
        <f>AND(#REF!,"AAAAAGv16nE=")</f>
        <v>#REF!</v>
      </c>
      <c r="DK39" t="e">
        <f>AND(#REF!,"AAAAAGv16nI=")</f>
        <v>#REF!</v>
      </c>
      <c r="DL39" t="e">
        <f>AND(#REF!,"AAAAAGv16nM=")</f>
        <v>#REF!</v>
      </c>
      <c r="DM39" t="e">
        <f>AND(#REF!,"AAAAAGv16nQ=")</f>
        <v>#REF!</v>
      </c>
      <c r="DN39" t="e">
        <f>AND(#REF!,"AAAAAGv16nU=")</f>
        <v>#REF!</v>
      </c>
      <c r="DO39" t="e">
        <f>AND(#REF!,"AAAAAGv16nY=")</f>
        <v>#REF!</v>
      </c>
      <c r="DP39" t="e">
        <f>AND(#REF!,"AAAAAGv16nc=")</f>
        <v>#REF!</v>
      </c>
      <c r="DQ39" t="e">
        <f>AND(#REF!,"AAAAAGv16ng=")</f>
        <v>#REF!</v>
      </c>
      <c r="DR39" t="e">
        <f>AND(#REF!,"AAAAAGv16nk=")</f>
        <v>#REF!</v>
      </c>
      <c r="DS39" t="e">
        <f>AND(#REF!,"AAAAAGv16no=")</f>
        <v>#REF!</v>
      </c>
      <c r="DT39" t="e">
        <f>AND(#REF!,"AAAAAGv16ns=")</f>
        <v>#REF!</v>
      </c>
      <c r="DU39" t="e">
        <f>AND(#REF!,"AAAAAGv16nw=")</f>
        <v>#REF!</v>
      </c>
      <c r="DV39" t="e">
        <f>AND(#REF!,"AAAAAGv16n0=")</f>
        <v>#REF!</v>
      </c>
      <c r="DW39" t="e">
        <f>AND(#REF!,"AAAAAGv16n4=")</f>
        <v>#REF!</v>
      </c>
      <c r="DX39" t="e">
        <f>AND(#REF!,"AAAAAGv16n8=")</f>
        <v>#REF!</v>
      </c>
      <c r="DY39" t="e">
        <f>AND(#REF!,"AAAAAGv16oA=")</f>
        <v>#REF!</v>
      </c>
      <c r="DZ39" t="e">
        <f>IF(#REF!,"AAAAAGv16oE=",0)</f>
        <v>#REF!</v>
      </c>
      <c r="EA39" t="e">
        <f>AND(#REF!,"AAAAAGv16oI=")</f>
        <v>#REF!</v>
      </c>
      <c r="EB39" t="e">
        <f>AND(#REF!,"AAAAAGv16oM=")</f>
        <v>#REF!</v>
      </c>
      <c r="EC39" t="e">
        <f>AND(#REF!,"AAAAAGv16oQ=")</f>
        <v>#REF!</v>
      </c>
      <c r="ED39" t="e">
        <f>AND(#REF!,"AAAAAGv16oU=")</f>
        <v>#REF!</v>
      </c>
      <c r="EE39" t="e">
        <f>AND(#REF!,"AAAAAGv16oY=")</f>
        <v>#REF!</v>
      </c>
      <c r="EF39" t="e">
        <f>AND(#REF!,"AAAAAGv16oc=")</f>
        <v>#REF!</v>
      </c>
      <c r="EG39" t="e">
        <f>AND(#REF!,"AAAAAGv16og=")</f>
        <v>#REF!</v>
      </c>
      <c r="EH39" t="e">
        <f>AND(#REF!,"AAAAAGv16ok=")</f>
        <v>#REF!</v>
      </c>
      <c r="EI39" t="e">
        <f>AND(#REF!,"AAAAAGv16oo=")</f>
        <v>#REF!</v>
      </c>
      <c r="EJ39" t="e">
        <f>AND(#REF!,"AAAAAGv16os=")</f>
        <v>#REF!</v>
      </c>
      <c r="EK39" t="e">
        <f>AND(#REF!,"AAAAAGv16ow=")</f>
        <v>#REF!</v>
      </c>
      <c r="EL39" t="e">
        <f>AND(#REF!,"AAAAAGv16o0=")</f>
        <v>#REF!</v>
      </c>
      <c r="EM39" t="e">
        <f>AND(#REF!,"AAAAAGv16o4=")</f>
        <v>#REF!</v>
      </c>
      <c r="EN39" t="e">
        <f>AND(#REF!,"AAAAAGv16o8=")</f>
        <v>#REF!</v>
      </c>
      <c r="EO39" t="e">
        <f>AND(#REF!,"AAAAAGv16pA=")</f>
        <v>#REF!</v>
      </c>
      <c r="EP39" t="e">
        <f>AND(#REF!,"AAAAAGv16pE=")</f>
        <v>#REF!</v>
      </c>
      <c r="EQ39" t="e">
        <f>AND(#REF!,"AAAAAGv16pI=")</f>
        <v>#REF!</v>
      </c>
      <c r="ER39" t="e">
        <f>AND(#REF!,"AAAAAGv16pM=")</f>
        <v>#REF!</v>
      </c>
      <c r="ES39" t="e">
        <f>IF(#REF!,"AAAAAGv16pQ=",0)</f>
        <v>#REF!</v>
      </c>
      <c r="ET39" t="e">
        <f>AND(#REF!,"AAAAAGv16pU=")</f>
        <v>#REF!</v>
      </c>
      <c r="EU39" t="e">
        <f>AND(#REF!,"AAAAAGv16pY=")</f>
        <v>#REF!</v>
      </c>
      <c r="EV39" t="e">
        <f>AND(#REF!,"AAAAAGv16pc=")</f>
        <v>#REF!</v>
      </c>
      <c r="EW39" t="e">
        <f>AND(#REF!,"AAAAAGv16pg=")</f>
        <v>#REF!</v>
      </c>
      <c r="EX39" t="e">
        <f>AND(#REF!,"AAAAAGv16pk=")</f>
        <v>#REF!</v>
      </c>
      <c r="EY39" t="e">
        <f>AND(#REF!,"AAAAAGv16po=")</f>
        <v>#REF!</v>
      </c>
      <c r="EZ39" t="e">
        <f>AND(#REF!,"AAAAAGv16ps=")</f>
        <v>#REF!</v>
      </c>
      <c r="FA39" t="e">
        <f>AND(#REF!,"AAAAAGv16pw=")</f>
        <v>#REF!</v>
      </c>
      <c r="FB39" t="e">
        <f>AND(#REF!,"AAAAAGv16p0=")</f>
        <v>#REF!</v>
      </c>
      <c r="FC39" t="e">
        <f>AND(#REF!,"AAAAAGv16p4=")</f>
        <v>#REF!</v>
      </c>
      <c r="FD39" t="e">
        <f>AND(#REF!,"AAAAAGv16p8=")</f>
        <v>#REF!</v>
      </c>
      <c r="FE39" t="e">
        <f>AND(#REF!,"AAAAAGv16qA=")</f>
        <v>#REF!</v>
      </c>
      <c r="FF39" t="e">
        <f>AND(#REF!,"AAAAAGv16qE=")</f>
        <v>#REF!</v>
      </c>
      <c r="FG39" t="e">
        <f>AND(#REF!,"AAAAAGv16qI=")</f>
        <v>#REF!</v>
      </c>
      <c r="FH39" t="e">
        <f>AND(#REF!,"AAAAAGv16qM=")</f>
        <v>#REF!</v>
      </c>
      <c r="FI39" t="e">
        <f>AND(#REF!,"AAAAAGv16qQ=")</f>
        <v>#REF!</v>
      </c>
      <c r="FJ39" t="e">
        <f>AND(#REF!,"AAAAAGv16qU=")</f>
        <v>#REF!</v>
      </c>
      <c r="FK39" t="e">
        <f>AND(#REF!,"AAAAAGv16qY=")</f>
        <v>#REF!</v>
      </c>
      <c r="FL39" t="e">
        <f>IF(#REF!,"AAAAAGv16qc=",0)</f>
        <v>#REF!</v>
      </c>
      <c r="FM39" t="e">
        <f>AND(#REF!,"AAAAAGv16qg=")</f>
        <v>#REF!</v>
      </c>
      <c r="FN39" t="e">
        <f>AND(#REF!,"AAAAAGv16qk=")</f>
        <v>#REF!</v>
      </c>
      <c r="FO39" t="e">
        <f>AND(#REF!,"AAAAAGv16qo=")</f>
        <v>#REF!</v>
      </c>
      <c r="FP39" t="e">
        <f>AND(#REF!,"AAAAAGv16qs=")</f>
        <v>#REF!</v>
      </c>
      <c r="FQ39" t="e">
        <f>AND(#REF!,"AAAAAGv16qw=")</f>
        <v>#REF!</v>
      </c>
      <c r="FR39" t="e">
        <f>AND(#REF!,"AAAAAGv16q0=")</f>
        <v>#REF!</v>
      </c>
      <c r="FS39" t="e">
        <f>AND(#REF!,"AAAAAGv16q4=")</f>
        <v>#REF!</v>
      </c>
      <c r="FT39" t="e">
        <f>AND(#REF!,"AAAAAGv16q8=")</f>
        <v>#REF!</v>
      </c>
      <c r="FU39" t="e">
        <f>AND(#REF!,"AAAAAGv16rA=")</f>
        <v>#REF!</v>
      </c>
      <c r="FV39" t="e">
        <f>AND(#REF!,"AAAAAGv16rE=")</f>
        <v>#REF!</v>
      </c>
      <c r="FW39" t="e">
        <f>AND(#REF!,"AAAAAGv16rI=")</f>
        <v>#REF!</v>
      </c>
      <c r="FX39" t="e">
        <f>AND(#REF!,"AAAAAGv16rM=")</f>
        <v>#REF!</v>
      </c>
      <c r="FY39" t="e">
        <f>AND(#REF!,"AAAAAGv16rQ=")</f>
        <v>#REF!</v>
      </c>
      <c r="FZ39" t="e">
        <f>AND(#REF!,"AAAAAGv16rU=")</f>
        <v>#REF!</v>
      </c>
      <c r="GA39" t="e">
        <f>AND(#REF!,"AAAAAGv16rY=")</f>
        <v>#REF!</v>
      </c>
      <c r="GB39" t="e">
        <f>AND(#REF!,"AAAAAGv16rc=")</f>
        <v>#REF!</v>
      </c>
      <c r="GC39" t="e">
        <f>AND(#REF!,"AAAAAGv16rg=")</f>
        <v>#REF!</v>
      </c>
      <c r="GD39" t="e">
        <f>AND(#REF!,"AAAAAGv16rk=")</f>
        <v>#REF!</v>
      </c>
      <c r="GE39" t="e">
        <f>IF(#REF!,"AAAAAGv16ro=",0)</f>
        <v>#REF!</v>
      </c>
      <c r="GF39" t="e">
        <f>AND(#REF!,"AAAAAGv16rs=")</f>
        <v>#REF!</v>
      </c>
      <c r="GG39" t="e">
        <f>AND(#REF!,"AAAAAGv16rw=")</f>
        <v>#REF!</v>
      </c>
      <c r="GH39" t="e">
        <f>AND(#REF!,"AAAAAGv16r0=")</f>
        <v>#REF!</v>
      </c>
      <c r="GI39" t="e">
        <f>AND(#REF!,"AAAAAGv16r4=")</f>
        <v>#REF!</v>
      </c>
      <c r="GJ39" t="e">
        <f>AND(#REF!,"AAAAAGv16r8=")</f>
        <v>#REF!</v>
      </c>
      <c r="GK39" t="e">
        <f>AND(#REF!,"AAAAAGv16sA=")</f>
        <v>#REF!</v>
      </c>
      <c r="GL39" t="e">
        <f>AND(#REF!,"AAAAAGv16sE=")</f>
        <v>#REF!</v>
      </c>
      <c r="GM39" t="e">
        <f>AND(#REF!,"AAAAAGv16sI=")</f>
        <v>#REF!</v>
      </c>
      <c r="GN39" t="e">
        <f>AND(#REF!,"AAAAAGv16sM=")</f>
        <v>#REF!</v>
      </c>
      <c r="GO39" t="e">
        <f>AND(#REF!,"AAAAAGv16sQ=")</f>
        <v>#REF!</v>
      </c>
      <c r="GP39" t="e">
        <f>AND(#REF!,"AAAAAGv16sU=")</f>
        <v>#REF!</v>
      </c>
      <c r="GQ39" t="e">
        <f>AND(#REF!,"AAAAAGv16sY=")</f>
        <v>#REF!</v>
      </c>
      <c r="GR39" t="e">
        <f>AND(#REF!,"AAAAAGv16sc=")</f>
        <v>#REF!</v>
      </c>
      <c r="GS39" t="e">
        <f>AND(#REF!,"AAAAAGv16sg=")</f>
        <v>#REF!</v>
      </c>
      <c r="GT39" t="e">
        <f>AND(#REF!,"AAAAAGv16sk=")</f>
        <v>#REF!</v>
      </c>
      <c r="GU39" t="e">
        <f>AND(#REF!,"AAAAAGv16so=")</f>
        <v>#REF!</v>
      </c>
      <c r="GV39" t="e">
        <f>AND(#REF!,"AAAAAGv16ss=")</f>
        <v>#REF!</v>
      </c>
      <c r="GW39" t="e">
        <f>AND(#REF!,"AAAAAGv16sw=")</f>
        <v>#REF!</v>
      </c>
      <c r="GX39" t="e">
        <f>IF(#REF!,"AAAAAGv16s0=",0)</f>
        <v>#REF!</v>
      </c>
      <c r="GY39" t="e">
        <f>AND(#REF!,"AAAAAGv16s4=")</f>
        <v>#REF!</v>
      </c>
      <c r="GZ39" t="e">
        <f>AND(#REF!,"AAAAAGv16s8=")</f>
        <v>#REF!</v>
      </c>
      <c r="HA39" t="e">
        <f>AND(#REF!,"AAAAAGv16tA=")</f>
        <v>#REF!</v>
      </c>
      <c r="HB39" t="e">
        <f>AND(#REF!,"AAAAAGv16tE=")</f>
        <v>#REF!</v>
      </c>
      <c r="HC39" t="e">
        <f>AND(#REF!,"AAAAAGv16tI=")</f>
        <v>#REF!</v>
      </c>
      <c r="HD39" t="e">
        <f>AND(#REF!,"AAAAAGv16tM=")</f>
        <v>#REF!</v>
      </c>
      <c r="HE39" t="e">
        <f>AND(#REF!,"AAAAAGv16tQ=")</f>
        <v>#REF!</v>
      </c>
      <c r="HF39" t="e">
        <f>AND(#REF!,"AAAAAGv16tU=")</f>
        <v>#REF!</v>
      </c>
      <c r="HG39" t="e">
        <f>AND(#REF!,"AAAAAGv16tY=")</f>
        <v>#REF!</v>
      </c>
      <c r="HH39" t="e">
        <f>AND(#REF!,"AAAAAGv16tc=")</f>
        <v>#REF!</v>
      </c>
      <c r="HI39" t="e">
        <f>AND(#REF!,"AAAAAGv16tg=")</f>
        <v>#REF!</v>
      </c>
      <c r="HJ39" t="e">
        <f>AND(#REF!,"AAAAAGv16tk=")</f>
        <v>#REF!</v>
      </c>
      <c r="HK39" t="e">
        <f>AND(#REF!,"AAAAAGv16to=")</f>
        <v>#REF!</v>
      </c>
      <c r="HL39" t="e">
        <f>AND(#REF!,"AAAAAGv16ts=")</f>
        <v>#REF!</v>
      </c>
      <c r="HM39" t="e">
        <f>AND(#REF!,"AAAAAGv16tw=")</f>
        <v>#REF!</v>
      </c>
      <c r="HN39" t="e">
        <f>AND(#REF!,"AAAAAGv16t0=")</f>
        <v>#REF!</v>
      </c>
      <c r="HO39" t="e">
        <f>AND(#REF!,"AAAAAGv16t4=")</f>
        <v>#REF!</v>
      </c>
      <c r="HP39" t="e">
        <f>AND(#REF!,"AAAAAGv16t8=")</f>
        <v>#REF!</v>
      </c>
      <c r="HQ39" t="e">
        <f>IF(#REF!,"AAAAAGv16uA=",0)</f>
        <v>#REF!</v>
      </c>
      <c r="HR39" t="e">
        <f>AND(#REF!,"AAAAAGv16uE=")</f>
        <v>#REF!</v>
      </c>
      <c r="HS39" t="e">
        <f>AND(#REF!,"AAAAAGv16uI=")</f>
        <v>#REF!</v>
      </c>
      <c r="HT39" t="e">
        <f>AND(#REF!,"AAAAAGv16uM=")</f>
        <v>#REF!</v>
      </c>
      <c r="HU39" t="e">
        <f>AND(#REF!,"AAAAAGv16uQ=")</f>
        <v>#REF!</v>
      </c>
      <c r="HV39" t="e">
        <f>AND(#REF!,"AAAAAGv16uU=")</f>
        <v>#REF!</v>
      </c>
      <c r="HW39" t="e">
        <f>AND(#REF!,"AAAAAGv16uY=")</f>
        <v>#REF!</v>
      </c>
      <c r="HX39" t="e">
        <f>AND(#REF!,"AAAAAGv16uc=")</f>
        <v>#REF!</v>
      </c>
      <c r="HY39" t="e">
        <f>AND(#REF!,"AAAAAGv16ug=")</f>
        <v>#REF!</v>
      </c>
      <c r="HZ39" t="e">
        <f>AND(#REF!,"AAAAAGv16uk=")</f>
        <v>#REF!</v>
      </c>
      <c r="IA39" t="e">
        <f>AND(#REF!,"AAAAAGv16uo=")</f>
        <v>#REF!</v>
      </c>
      <c r="IB39" t="e">
        <f>AND(#REF!,"AAAAAGv16us=")</f>
        <v>#REF!</v>
      </c>
      <c r="IC39" t="e">
        <f>AND(#REF!,"AAAAAGv16uw=")</f>
        <v>#REF!</v>
      </c>
      <c r="ID39" t="e">
        <f>AND(#REF!,"AAAAAGv16u0=")</f>
        <v>#REF!</v>
      </c>
      <c r="IE39" t="e">
        <f>AND(#REF!,"AAAAAGv16u4=")</f>
        <v>#REF!</v>
      </c>
      <c r="IF39" t="e">
        <f>AND(#REF!,"AAAAAGv16u8=")</f>
        <v>#REF!</v>
      </c>
      <c r="IG39" t="e">
        <f>AND(#REF!,"AAAAAGv16vA=")</f>
        <v>#REF!</v>
      </c>
      <c r="IH39" t="e">
        <f>AND(#REF!,"AAAAAGv16vE=")</f>
        <v>#REF!</v>
      </c>
      <c r="II39" t="e">
        <f>AND(#REF!,"AAAAAGv16vI=")</f>
        <v>#REF!</v>
      </c>
      <c r="IJ39" t="e">
        <f>IF(#REF!,"AAAAAGv16vM=",0)</f>
        <v>#REF!</v>
      </c>
      <c r="IK39" t="e">
        <f>AND(#REF!,"AAAAAGv16vQ=")</f>
        <v>#REF!</v>
      </c>
      <c r="IL39" t="e">
        <f>AND(#REF!,"AAAAAGv16vU=")</f>
        <v>#REF!</v>
      </c>
      <c r="IM39" t="e">
        <f>AND(#REF!,"AAAAAGv16vY=")</f>
        <v>#REF!</v>
      </c>
      <c r="IN39" t="e">
        <f>AND(#REF!,"AAAAAGv16vc=")</f>
        <v>#REF!</v>
      </c>
      <c r="IO39" t="e">
        <f>AND(#REF!,"AAAAAGv16vg=")</f>
        <v>#REF!</v>
      </c>
      <c r="IP39" t="e">
        <f>AND(#REF!,"AAAAAGv16vk=")</f>
        <v>#REF!</v>
      </c>
      <c r="IQ39" t="e">
        <f>AND(#REF!,"AAAAAGv16vo=")</f>
        <v>#REF!</v>
      </c>
      <c r="IR39" t="e">
        <f>AND(#REF!,"AAAAAGv16vs=")</f>
        <v>#REF!</v>
      </c>
      <c r="IS39" t="e">
        <f>AND(#REF!,"AAAAAGv16vw=")</f>
        <v>#REF!</v>
      </c>
      <c r="IT39" t="e">
        <f>AND(#REF!,"AAAAAGv16v0=")</f>
        <v>#REF!</v>
      </c>
      <c r="IU39" t="e">
        <f>AND(#REF!,"AAAAAGv16v4=")</f>
        <v>#REF!</v>
      </c>
      <c r="IV39" t="e">
        <f>AND(#REF!,"AAAAAGv16v8=")</f>
        <v>#REF!</v>
      </c>
    </row>
    <row r="40" spans="1:256" x14ac:dyDescent="0.15">
      <c r="A40" t="e">
        <f>AND(#REF!,"AAAAAF5Z/gA=")</f>
        <v>#REF!</v>
      </c>
      <c r="B40" t="e">
        <f>AND(#REF!,"AAAAAF5Z/gE=")</f>
        <v>#REF!</v>
      </c>
      <c r="C40" t="e">
        <f>AND(#REF!,"AAAAAF5Z/gI=")</f>
        <v>#REF!</v>
      </c>
      <c r="D40" t="e">
        <f>AND(#REF!,"AAAAAF5Z/gM=")</f>
        <v>#REF!</v>
      </c>
      <c r="E40" t="e">
        <f>AND(#REF!,"AAAAAF5Z/gQ=")</f>
        <v>#REF!</v>
      </c>
      <c r="F40" t="e">
        <f>AND(#REF!,"AAAAAF5Z/gU=")</f>
        <v>#REF!</v>
      </c>
      <c r="G40" t="e">
        <f>IF(#REF!,"AAAAAF5Z/gY=",0)</f>
        <v>#REF!</v>
      </c>
      <c r="H40" t="e">
        <f>AND(#REF!,"AAAAAF5Z/gc=")</f>
        <v>#REF!</v>
      </c>
      <c r="I40" t="e">
        <f>AND(#REF!,"AAAAAF5Z/gg=")</f>
        <v>#REF!</v>
      </c>
      <c r="J40" t="e">
        <f>AND(#REF!,"AAAAAF5Z/gk=")</f>
        <v>#REF!</v>
      </c>
      <c r="K40" t="e">
        <f>AND(#REF!,"AAAAAF5Z/go=")</f>
        <v>#REF!</v>
      </c>
      <c r="L40" t="e">
        <f>AND(#REF!,"AAAAAF5Z/gs=")</f>
        <v>#REF!</v>
      </c>
      <c r="M40" t="e">
        <f>AND(#REF!,"AAAAAF5Z/gw=")</f>
        <v>#REF!</v>
      </c>
      <c r="N40" t="e">
        <f>AND(#REF!,"AAAAAF5Z/g0=")</f>
        <v>#REF!</v>
      </c>
      <c r="O40" t="e">
        <f>AND(#REF!,"AAAAAF5Z/g4=")</f>
        <v>#REF!</v>
      </c>
      <c r="P40" t="e">
        <f>AND(#REF!,"AAAAAF5Z/g8=")</f>
        <v>#REF!</v>
      </c>
      <c r="Q40" t="e">
        <f>AND(#REF!,"AAAAAF5Z/hA=")</f>
        <v>#REF!</v>
      </c>
      <c r="R40" t="e">
        <f>AND(#REF!,"AAAAAF5Z/hE=")</f>
        <v>#REF!</v>
      </c>
      <c r="S40" t="e">
        <f>AND(#REF!,"AAAAAF5Z/hI=")</f>
        <v>#REF!</v>
      </c>
      <c r="T40" t="e">
        <f>AND(#REF!,"AAAAAF5Z/hM=")</f>
        <v>#REF!</v>
      </c>
      <c r="U40" t="e">
        <f>AND(#REF!,"AAAAAF5Z/hQ=")</f>
        <v>#REF!</v>
      </c>
      <c r="V40" t="e">
        <f>AND(#REF!,"AAAAAF5Z/hU=")</f>
        <v>#REF!</v>
      </c>
      <c r="W40" t="e">
        <f>AND(#REF!,"AAAAAF5Z/hY=")</f>
        <v>#REF!</v>
      </c>
      <c r="X40" t="e">
        <f>AND(#REF!,"AAAAAF5Z/hc=")</f>
        <v>#REF!</v>
      </c>
      <c r="Y40" t="e">
        <f>AND(#REF!,"AAAAAF5Z/hg=")</f>
        <v>#REF!</v>
      </c>
      <c r="Z40" t="e">
        <f>IF(#REF!,"AAAAAF5Z/hk=",0)</f>
        <v>#REF!</v>
      </c>
      <c r="AA40" t="e">
        <f>AND(#REF!,"AAAAAF5Z/ho=")</f>
        <v>#REF!</v>
      </c>
      <c r="AB40" t="e">
        <f>AND(#REF!,"AAAAAF5Z/hs=")</f>
        <v>#REF!</v>
      </c>
      <c r="AC40" t="e">
        <f>AND(#REF!,"AAAAAF5Z/hw=")</f>
        <v>#REF!</v>
      </c>
      <c r="AD40" t="e">
        <f>AND(#REF!,"AAAAAF5Z/h0=")</f>
        <v>#REF!</v>
      </c>
      <c r="AE40" t="e">
        <f>AND(#REF!,"AAAAAF5Z/h4=")</f>
        <v>#REF!</v>
      </c>
      <c r="AF40" t="e">
        <f>AND(#REF!,"AAAAAF5Z/h8=")</f>
        <v>#REF!</v>
      </c>
      <c r="AG40" t="e">
        <f>AND(#REF!,"AAAAAF5Z/iA=")</f>
        <v>#REF!</v>
      </c>
      <c r="AH40" t="e">
        <f>AND(#REF!,"AAAAAF5Z/iE=")</f>
        <v>#REF!</v>
      </c>
      <c r="AI40" t="e">
        <f>AND(#REF!,"AAAAAF5Z/iI=")</f>
        <v>#REF!</v>
      </c>
      <c r="AJ40" t="e">
        <f>AND(#REF!,"AAAAAF5Z/iM=")</f>
        <v>#REF!</v>
      </c>
      <c r="AK40" t="e">
        <f>AND(#REF!,"AAAAAF5Z/iQ=")</f>
        <v>#REF!</v>
      </c>
      <c r="AL40" t="e">
        <f>AND(#REF!,"AAAAAF5Z/iU=")</f>
        <v>#REF!</v>
      </c>
      <c r="AM40" t="e">
        <f>AND(#REF!,"AAAAAF5Z/iY=")</f>
        <v>#REF!</v>
      </c>
      <c r="AN40" t="e">
        <f>AND(#REF!,"AAAAAF5Z/ic=")</f>
        <v>#REF!</v>
      </c>
      <c r="AO40" t="e">
        <f>AND(#REF!,"AAAAAF5Z/ig=")</f>
        <v>#REF!</v>
      </c>
      <c r="AP40" t="e">
        <f>AND(#REF!,"AAAAAF5Z/ik=")</f>
        <v>#REF!</v>
      </c>
      <c r="AQ40" t="e">
        <f>AND(#REF!,"AAAAAF5Z/io=")</f>
        <v>#REF!</v>
      </c>
      <c r="AR40" t="e">
        <f>AND(#REF!,"AAAAAF5Z/is=")</f>
        <v>#REF!</v>
      </c>
      <c r="AS40" t="e">
        <f>IF(#REF!,"AAAAAF5Z/iw=",0)</f>
        <v>#REF!</v>
      </c>
      <c r="AT40" t="e">
        <f>AND(#REF!,"AAAAAF5Z/i0=")</f>
        <v>#REF!</v>
      </c>
      <c r="AU40" t="e">
        <f>AND(#REF!,"AAAAAF5Z/i4=")</f>
        <v>#REF!</v>
      </c>
      <c r="AV40" t="e">
        <f>AND(#REF!,"AAAAAF5Z/i8=")</f>
        <v>#REF!</v>
      </c>
      <c r="AW40" t="e">
        <f>AND(#REF!,"AAAAAF5Z/jA=")</f>
        <v>#REF!</v>
      </c>
      <c r="AX40" t="e">
        <f>AND(#REF!,"AAAAAF5Z/jE=")</f>
        <v>#REF!</v>
      </c>
      <c r="AY40" t="e">
        <f>AND(#REF!,"AAAAAF5Z/jI=")</f>
        <v>#REF!</v>
      </c>
      <c r="AZ40" t="e">
        <f>AND(#REF!,"AAAAAF5Z/jM=")</f>
        <v>#REF!</v>
      </c>
      <c r="BA40" t="e">
        <f>AND(#REF!,"AAAAAF5Z/jQ=")</f>
        <v>#REF!</v>
      </c>
      <c r="BB40" t="e">
        <f>AND(#REF!,"AAAAAF5Z/jU=")</f>
        <v>#REF!</v>
      </c>
      <c r="BC40" t="e">
        <f>AND(#REF!,"AAAAAF5Z/jY=")</f>
        <v>#REF!</v>
      </c>
      <c r="BD40" t="e">
        <f>AND(#REF!,"AAAAAF5Z/jc=")</f>
        <v>#REF!</v>
      </c>
      <c r="BE40" t="e">
        <f>AND(#REF!,"AAAAAF5Z/jg=")</f>
        <v>#REF!</v>
      </c>
      <c r="BF40" t="e">
        <f>AND(#REF!,"AAAAAF5Z/jk=")</f>
        <v>#REF!</v>
      </c>
      <c r="BG40" t="e">
        <f>AND(#REF!,"AAAAAF5Z/jo=")</f>
        <v>#REF!</v>
      </c>
      <c r="BH40" t="e">
        <f>AND(#REF!,"AAAAAF5Z/js=")</f>
        <v>#REF!</v>
      </c>
      <c r="BI40" t="e">
        <f>AND(#REF!,"AAAAAF5Z/jw=")</f>
        <v>#REF!</v>
      </c>
      <c r="BJ40" t="e">
        <f>AND(#REF!,"AAAAAF5Z/j0=")</f>
        <v>#REF!</v>
      </c>
      <c r="BK40" t="e">
        <f>AND(#REF!,"AAAAAF5Z/j4=")</f>
        <v>#REF!</v>
      </c>
      <c r="BL40" t="e">
        <f>IF(#REF!,"AAAAAF5Z/j8=",0)</f>
        <v>#REF!</v>
      </c>
      <c r="BM40" t="e">
        <f>AND(#REF!,"AAAAAF5Z/kA=")</f>
        <v>#REF!</v>
      </c>
      <c r="BN40" t="e">
        <f>AND(#REF!,"AAAAAF5Z/kE=")</f>
        <v>#REF!</v>
      </c>
      <c r="BO40" t="e">
        <f>AND(#REF!,"AAAAAF5Z/kI=")</f>
        <v>#REF!</v>
      </c>
      <c r="BP40" t="e">
        <f>AND(#REF!,"AAAAAF5Z/kM=")</f>
        <v>#REF!</v>
      </c>
      <c r="BQ40" t="e">
        <f>AND(#REF!,"AAAAAF5Z/kQ=")</f>
        <v>#REF!</v>
      </c>
      <c r="BR40" t="e">
        <f>AND(#REF!,"AAAAAF5Z/kU=")</f>
        <v>#REF!</v>
      </c>
      <c r="BS40" t="e">
        <f>AND(#REF!,"AAAAAF5Z/kY=")</f>
        <v>#REF!</v>
      </c>
      <c r="BT40" t="e">
        <f>AND(#REF!,"AAAAAF5Z/kc=")</f>
        <v>#REF!</v>
      </c>
      <c r="BU40" t="e">
        <f>AND(#REF!,"AAAAAF5Z/kg=")</f>
        <v>#REF!</v>
      </c>
      <c r="BV40" t="e">
        <f>AND(#REF!,"AAAAAF5Z/kk=")</f>
        <v>#REF!</v>
      </c>
      <c r="BW40" t="e">
        <f>AND(#REF!,"AAAAAF5Z/ko=")</f>
        <v>#REF!</v>
      </c>
      <c r="BX40" t="e">
        <f>AND(#REF!,"AAAAAF5Z/ks=")</f>
        <v>#REF!</v>
      </c>
      <c r="BY40" t="e">
        <f>AND(#REF!,"AAAAAF5Z/kw=")</f>
        <v>#REF!</v>
      </c>
      <c r="BZ40" t="e">
        <f>AND(#REF!,"AAAAAF5Z/k0=")</f>
        <v>#REF!</v>
      </c>
      <c r="CA40" t="e">
        <f>AND(#REF!,"AAAAAF5Z/k4=")</f>
        <v>#REF!</v>
      </c>
      <c r="CB40" t="e">
        <f>AND(#REF!,"AAAAAF5Z/k8=")</f>
        <v>#REF!</v>
      </c>
      <c r="CC40" t="e">
        <f>AND(#REF!,"AAAAAF5Z/lA=")</f>
        <v>#REF!</v>
      </c>
      <c r="CD40" t="e">
        <f>AND(#REF!,"AAAAAF5Z/lE=")</f>
        <v>#REF!</v>
      </c>
      <c r="CE40" t="e">
        <f>IF(#REF!,"AAAAAF5Z/lI=",0)</f>
        <v>#REF!</v>
      </c>
      <c r="CF40" t="e">
        <f>AND(#REF!,"AAAAAF5Z/lM=")</f>
        <v>#REF!</v>
      </c>
      <c r="CG40" t="e">
        <f>AND(#REF!,"AAAAAF5Z/lQ=")</f>
        <v>#REF!</v>
      </c>
      <c r="CH40" t="e">
        <f>AND(#REF!,"AAAAAF5Z/lU=")</f>
        <v>#REF!</v>
      </c>
      <c r="CI40" t="e">
        <f>AND(#REF!,"AAAAAF5Z/lY=")</f>
        <v>#REF!</v>
      </c>
      <c r="CJ40" t="e">
        <f>AND(#REF!,"AAAAAF5Z/lc=")</f>
        <v>#REF!</v>
      </c>
      <c r="CK40" t="e">
        <f>AND(#REF!,"AAAAAF5Z/lg=")</f>
        <v>#REF!</v>
      </c>
      <c r="CL40" t="e">
        <f>AND(#REF!,"AAAAAF5Z/lk=")</f>
        <v>#REF!</v>
      </c>
      <c r="CM40" t="e">
        <f>AND(#REF!,"AAAAAF5Z/lo=")</f>
        <v>#REF!</v>
      </c>
      <c r="CN40" t="e">
        <f>AND(#REF!,"AAAAAF5Z/ls=")</f>
        <v>#REF!</v>
      </c>
      <c r="CO40" t="e">
        <f>AND(#REF!,"AAAAAF5Z/lw=")</f>
        <v>#REF!</v>
      </c>
      <c r="CP40" t="e">
        <f>AND(#REF!,"AAAAAF5Z/l0=")</f>
        <v>#REF!</v>
      </c>
      <c r="CQ40" t="e">
        <f>AND(#REF!,"AAAAAF5Z/l4=")</f>
        <v>#REF!</v>
      </c>
      <c r="CR40" t="e">
        <f>AND(#REF!,"AAAAAF5Z/l8=")</f>
        <v>#REF!</v>
      </c>
      <c r="CS40" t="e">
        <f>AND(#REF!,"AAAAAF5Z/mA=")</f>
        <v>#REF!</v>
      </c>
      <c r="CT40" t="e">
        <f>AND(#REF!,"AAAAAF5Z/mE=")</f>
        <v>#REF!</v>
      </c>
      <c r="CU40" t="e">
        <f>AND(#REF!,"AAAAAF5Z/mI=")</f>
        <v>#REF!</v>
      </c>
      <c r="CV40" t="e">
        <f>AND(#REF!,"AAAAAF5Z/mM=")</f>
        <v>#REF!</v>
      </c>
      <c r="CW40" t="e">
        <f>AND(#REF!,"AAAAAF5Z/mQ=")</f>
        <v>#REF!</v>
      </c>
      <c r="CX40" t="e">
        <f>IF(#REF!,"AAAAAF5Z/mU=",0)</f>
        <v>#REF!</v>
      </c>
      <c r="CY40" t="e">
        <f>AND(#REF!,"AAAAAF5Z/mY=")</f>
        <v>#REF!</v>
      </c>
      <c r="CZ40" t="e">
        <f>AND(#REF!,"AAAAAF5Z/mc=")</f>
        <v>#REF!</v>
      </c>
      <c r="DA40" t="e">
        <f>AND(#REF!,"AAAAAF5Z/mg=")</f>
        <v>#REF!</v>
      </c>
      <c r="DB40" t="e">
        <f>AND(#REF!,"AAAAAF5Z/mk=")</f>
        <v>#REF!</v>
      </c>
      <c r="DC40" t="e">
        <f>AND(#REF!,"AAAAAF5Z/mo=")</f>
        <v>#REF!</v>
      </c>
      <c r="DD40" t="e">
        <f>AND(#REF!,"AAAAAF5Z/ms=")</f>
        <v>#REF!</v>
      </c>
      <c r="DE40" t="e">
        <f>AND(#REF!,"AAAAAF5Z/mw=")</f>
        <v>#REF!</v>
      </c>
      <c r="DF40" t="e">
        <f>AND(#REF!,"AAAAAF5Z/m0=")</f>
        <v>#REF!</v>
      </c>
      <c r="DG40" t="e">
        <f>AND(#REF!,"AAAAAF5Z/m4=")</f>
        <v>#REF!</v>
      </c>
      <c r="DH40" t="e">
        <f>AND(#REF!,"AAAAAF5Z/m8=")</f>
        <v>#REF!</v>
      </c>
      <c r="DI40" t="e">
        <f>AND(#REF!,"AAAAAF5Z/nA=")</f>
        <v>#REF!</v>
      </c>
      <c r="DJ40" t="e">
        <f>AND(#REF!,"AAAAAF5Z/nE=")</f>
        <v>#REF!</v>
      </c>
      <c r="DK40" t="e">
        <f>AND(#REF!,"AAAAAF5Z/nI=")</f>
        <v>#REF!</v>
      </c>
      <c r="DL40" t="e">
        <f>AND(#REF!,"AAAAAF5Z/nM=")</f>
        <v>#REF!</v>
      </c>
      <c r="DM40" t="e">
        <f>AND(#REF!,"AAAAAF5Z/nQ=")</f>
        <v>#REF!</v>
      </c>
      <c r="DN40" t="e">
        <f>AND(#REF!,"AAAAAF5Z/nU=")</f>
        <v>#REF!</v>
      </c>
      <c r="DO40" t="e">
        <f>AND(#REF!,"AAAAAF5Z/nY=")</f>
        <v>#REF!</v>
      </c>
      <c r="DP40" t="e">
        <f>AND(#REF!,"AAAAAF5Z/nc=")</f>
        <v>#REF!</v>
      </c>
      <c r="DQ40" t="e">
        <f>IF(#REF!,"AAAAAF5Z/ng=",0)</f>
        <v>#REF!</v>
      </c>
      <c r="DR40" t="e">
        <f>AND(#REF!,"AAAAAF5Z/nk=")</f>
        <v>#REF!</v>
      </c>
      <c r="DS40" t="e">
        <f>AND(#REF!,"AAAAAF5Z/no=")</f>
        <v>#REF!</v>
      </c>
      <c r="DT40" t="e">
        <f>AND(#REF!,"AAAAAF5Z/ns=")</f>
        <v>#REF!</v>
      </c>
      <c r="DU40" t="e">
        <f>AND(#REF!,"AAAAAF5Z/nw=")</f>
        <v>#REF!</v>
      </c>
      <c r="DV40" t="e">
        <f>AND(#REF!,"AAAAAF5Z/n0=")</f>
        <v>#REF!</v>
      </c>
      <c r="DW40" t="e">
        <f>AND(#REF!,"AAAAAF5Z/n4=")</f>
        <v>#REF!</v>
      </c>
      <c r="DX40" t="e">
        <f>AND(#REF!,"AAAAAF5Z/n8=")</f>
        <v>#REF!</v>
      </c>
      <c r="DY40" t="e">
        <f>AND(#REF!,"AAAAAF5Z/oA=")</f>
        <v>#REF!</v>
      </c>
      <c r="DZ40" t="e">
        <f>AND(#REF!,"AAAAAF5Z/oE=")</f>
        <v>#REF!</v>
      </c>
      <c r="EA40" t="e">
        <f>AND(#REF!,"AAAAAF5Z/oI=")</f>
        <v>#REF!</v>
      </c>
      <c r="EB40" t="e">
        <f>AND(#REF!,"AAAAAF5Z/oM=")</f>
        <v>#REF!</v>
      </c>
      <c r="EC40" t="e">
        <f>AND(#REF!,"AAAAAF5Z/oQ=")</f>
        <v>#REF!</v>
      </c>
      <c r="ED40" t="e">
        <f>AND(#REF!,"AAAAAF5Z/oU=")</f>
        <v>#REF!</v>
      </c>
      <c r="EE40" t="e">
        <f>AND(#REF!,"AAAAAF5Z/oY=")</f>
        <v>#REF!</v>
      </c>
      <c r="EF40" t="e">
        <f>AND(#REF!,"AAAAAF5Z/oc=")</f>
        <v>#REF!</v>
      </c>
      <c r="EG40" t="e">
        <f>AND(#REF!,"AAAAAF5Z/og=")</f>
        <v>#REF!</v>
      </c>
      <c r="EH40" t="e">
        <f>AND(#REF!,"AAAAAF5Z/ok=")</f>
        <v>#REF!</v>
      </c>
      <c r="EI40" t="e">
        <f>AND(#REF!,"AAAAAF5Z/oo=")</f>
        <v>#REF!</v>
      </c>
      <c r="EJ40" t="e">
        <f>IF(#REF!,"AAAAAF5Z/os=",0)</f>
        <v>#REF!</v>
      </c>
      <c r="EK40" t="e">
        <f>AND(#REF!,"AAAAAF5Z/ow=")</f>
        <v>#REF!</v>
      </c>
      <c r="EL40" t="e">
        <f>AND(#REF!,"AAAAAF5Z/o0=")</f>
        <v>#REF!</v>
      </c>
      <c r="EM40" t="e">
        <f>AND(#REF!,"AAAAAF5Z/o4=")</f>
        <v>#REF!</v>
      </c>
      <c r="EN40" t="e">
        <f>AND(#REF!,"AAAAAF5Z/o8=")</f>
        <v>#REF!</v>
      </c>
      <c r="EO40" t="e">
        <f>AND(#REF!,"AAAAAF5Z/pA=")</f>
        <v>#REF!</v>
      </c>
      <c r="EP40" t="e">
        <f>AND(#REF!,"AAAAAF5Z/pE=")</f>
        <v>#REF!</v>
      </c>
      <c r="EQ40" t="e">
        <f>AND(#REF!,"AAAAAF5Z/pI=")</f>
        <v>#REF!</v>
      </c>
      <c r="ER40" t="e">
        <f>AND(#REF!,"AAAAAF5Z/pM=")</f>
        <v>#REF!</v>
      </c>
      <c r="ES40" t="e">
        <f>AND(#REF!,"AAAAAF5Z/pQ=")</f>
        <v>#REF!</v>
      </c>
      <c r="ET40" t="e">
        <f>AND(#REF!,"AAAAAF5Z/pU=")</f>
        <v>#REF!</v>
      </c>
      <c r="EU40" t="e">
        <f>AND(#REF!,"AAAAAF5Z/pY=")</f>
        <v>#REF!</v>
      </c>
      <c r="EV40" t="e">
        <f>AND(#REF!,"AAAAAF5Z/pc=")</f>
        <v>#REF!</v>
      </c>
      <c r="EW40" t="e">
        <f>AND(#REF!,"AAAAAF5Z/pg=")</f>
        <v>#REF!</v>
      </c>
      <c r="EX40" t="e">
        <f>AND(#REF!,"AAAAAF5Z/pk=")</f>
        <v>#REF!</v>
      </c>
      <c r="EY40" t="e">
        <f>AND(#REF!,"AAAAAF5Z/po=")</f>
        <v>#REF!</v>
      </c>
      <c r="EZ40" t="e">
        <f>AND(#REF!,"AAAAAF5Z/ps=")</f>
        <v>#REF!</v>
      </c>
      <c r="FA40" t="e">
        <f>AND(#REF!,"AAAAAF5Z/pw=")</f>
        <v>#REF!</v>
      </c>
      <c r="FB40" t="e">
        <f>AND(#REF!,"AAAAAF5Z/p0=")</f>
        <v>#REF!</v>
      </c>
      <c r="FC40" t="e">
        <f>IF(#REF!,"AAAAAF5Z/p4=",0)</f>
        <v>#REF!</v>
      </c>
      <c r="FD40" t="e">
        <f>AND(#REF!,"AAAAAF5Z/p8=")</f>
        <v>#REF!</v>
      </c>
      <c r="FE40" t="e">
        <f>AND(#REF!,"AAAAAF5Z/qA=")</f>
        <v>#REF!</v>
      </c>
      <c r="FF40" t="e">
        <f>AND(#REF!,"AAAAAF5Z/qE=")</f>
        <v>#REF!</v>
      </c>
      <c r="FG40" t="e">
        <f>AND(#REF!,"AAAAAF5Z/qI=")</f>
        <v>#REF!</v>
      </c>
      <c r="FH40" t="e">
        <f>AND(#REF!,"AAAAAF5Z/qM=")</f>
        <v>#REF!</v>
      </c>
      <c r="FI40" t="e">
        <f>AND(#REF!,"AAAAAF5Z/qQ=")</f>
        <v>#REF!</v>
      </c>
      <c r="FJ40" t="e">
        <f>AND(#REF!,"AAAAAF5Z/qU=")</f>
        <v>#REF!</v>
      </c>
      <c r="FK40" t="e">
        <f>AND(#REF!,"AAAAAF5Z/qY=")</f>
        <v>#REF!</v>
      </c>
      <c r="FL40" t="e">
        <f>AND(#REF!,"AAAAAF5Z/qc=")</f>
        <v>#REF!</v>
      </c>
      <c r="FM40" t="e">
        <f>AND(#REF!,"AAAAAF5Z/qg=")</f>
        <v>#REF!</v>
      </c>
      <c r="FN40" t="e">
        <f>AND(#REF!,"AAAAAF5Z/qk=")</f>
        <v>#REF!</v>
      </c>
      <c r="FO40" t="e">
        <f>AND(#REF!,"AAAAAF5Z/qo=")</f>
        <v>#REF!</v>
      </c>
      <c r="FP40" t="e">
        <f>AND(#REF!,"AAAAAF5Z/qs=")</f>
        <v>#REF!</v>
      </c>
      <c r="FQ40" t="e">
        <f>AND(#REF!,"AAAAAF5Z/qw=")</f>
        <v>#REF!</v>
      </c>
      <c r="FR40" t="e">
        <f>AND(#REF!,"AAAAAF5Z/q0=")</f>
        <v>#REF!</v>
      </c>
      <c r="FS40" t="e">
        <f>AND(#REF!,"AAAAAF5Z/q4=")</f>
        <v>#REF!</v>
      </c>
      <c r="FT40" t="e">
        <f>AND(#REF!,"AAAAAF5Z/q8=")</f>
        <v>#REF!</v>
      </c>
      <c r="FU40" t="e">
        <f>AND(#REF!,"AAAAAF5Z/rA=")</f>
        <v>#REF!</v>
      </c>
      <c r="FV40" t="e">
        <f>IF(#REF!,"AAAAAF5Z/rE=",0)</f>
        <v>#REF!</v>
      </c>
      <c r="FW40" t="e">
        <f>IF(#REF!,"AAAAAF5Z/rI=",0)</f>
        <v>#REF!</v>
      </c>
      <c r="FX40" t="e">
        <f>IF(#REF!,"AAAAAF5Z/rM=",0)</f>
        <v>#REF!</v>
      </c>
      <c r="FY40" t="e">
        <f>IF(#REF!,"AAAAAF5Z/rQ=",0)</f>
        <v>#REF!</v>
      </c>
      <c r="FZ40" t="e">
        <f>IF(#REF!,"AAAAAF5Z/rU=",0)</f>
        <v>#REF!</v>
      </c>
      <c r="GA40" t="e">
        <f>IF(#REF!,"AAAAAF5Z/rY=",0)</f>
        <v>#REF!</v>
      </c>
      <c r="GB40" t="e">
        <f>IF(#REF!,"AAAAAF5Z/rc=",0)</f>
        <v>#REF!</v>
      </c>
      <c r="GC40" t="e">
        <f>IF(#REF!,"AAAAAF5Z/rg=",0)</f>
        <v>#REF!</v>
      </c>
      <c r="GD40" t="e">
        <f>IF(#REF!,"AAAAAF5Z/rk=",0)</f>
        <v>#REF!</v>
      </c>
      <c r="GE40" t="e">
        <f>IF(#REF!,"AAAAAF5Z/ro=",0)</f>
        <v>#REF!</v>
      </c>
      <c r="GF40" t="e">
        <f>IF(#REF!,"AAAAAF5Z/rs=",0)</f>
        <v>#REF!</v>
      </c>
      <c r="GG40" t="e">
        <f>IF(#REF!,"AAAAAF5Z/rw=",0)</f>
        <v>#REF!</v>
      </c>
      <c r="GH40" t="e">
        <f>IF(#REF!,"AAAAAF5Z/r0=",0)</f>
        <v>#REF!</v>
      </c>
      <c r="GI40" t="e">
        <f>IF(#REF!,"AAAAAF5Z/r4=",0)</f>
        <v>#REF!</v>
      </c>
      <c r="GJ40" t="e">
        <f>IF(#REF!,"AAAAAF5Z/r8=",0)</f>
        <v>#REF!</v>
      </c>
      <c r="GK40" t="e">
        <f>IF(#REF!,"AAAAAF5Z/sA=",0)</f>
        <v>#REF!</v>
      </c>
      <c r="GL40" t="e">
        <f>IF(#REF!,"AAAAAF5Z/sE=",0)</f>
        <v>#REF!</v>
      </c>
      <c r="GM40" t="e">
        <f>IF(#REF!,"AAAAAF5Z/sI=",0)</f>
        <v>#REF!</v>
      </c>
      <c r="GN40" t="e">
        <f>IF(#REF!,"AAAAAF5Z/sM=",0)</f>
        <v>#REF!</v>
      </c>
      <c r="GO40" t="e">
        <f>IF(#REF!,"AAAAAF5Z/sQ=",0)</f>
        <v>#REF!</v>
      </c>
      <c r="GP40" t="e">
        <f>IF(#REF!,"AAAAAF5Z/sU=",0)</f>
        <v>#REF!</v>
      </c>
      <c r="GQ40" t="e">
        <f>AND(#REF!,"AAAAAF5Z/sY=")</f>
        <v>#REF!</v>
      </c>
      <c r="GR40" t="e">
        <f>AND(#REF!,"AAAAAF5Z/sc=")</f>
        <v>#REF!</v>
      </c>
      <c r="GS40" t="e">
        <f>AND(#REF!,"AAAAAF5Z/sg=")</f>
        <v>#REF!</v>
      </c>
      <c r="GT40" t="e">
        <f>AND(#REF!,"AAAAAF5Z/sk=")</f>
        <v>#REF!</v>
      </c>
      <c r="GU40" t="e">
        <f>AND(#REF!,"AAAAAF5Z/so=")</f>
        <v>#REF!</v>
      </c>
      <c r="GV40" t="e">
        <f>AND(#REF!,"AAAAAF5Z/ss=")</f>
        <v>#REF!</v>
      </c>
      <c r="GW40" t="e">
        <f>AND(#REF!,"AAAAAF5Z/sw=")</f>
        <v>#REF!</v>
      </c>
      <c r="GX40" t="e">
        <f>AND(#REF!,"AAAAAF5Z/s0=")</f>
        <v>#REF!</v>
      </c>
      <c r="GY40" t="e">
        <f>AND(#REF!,"AAAAAF5Z/s4=")</f>
        <v>#REF!</v>
      </c>
      <c r="GZ40" t="e">
        <f>AND(#REF!,"AAAAAF5Z/s8=")</f>
        <v>#REF!</v>
      </c>
      <c r="HA40" t="e">
        <f>AND(#REF!,"AAAAAF5Z/tA=")</f>
        <v>#REF!</v>
      </c>
      <c r="HB40" t="e">
        <f>AND(#REF!,"AAAAAF5Z/tE=")</f>
        <v>#REF!</v>
      </c>
      <c r="HC40" t="e">
        <f>AND(#REF!,"AAAAAF5Z/tI=")</f>
        <v>#REF!</v>
      </c>
      <c r="HD40" t="e">
        <f>AND(#REF!,"AAAAAF5Z/tM=")</f>
        <v>#REF!</v>
      </c>
      <c r="HE40" t="e">
        <f>AND(#REF!,"AAAAAF5Z/tQ=")</f>
        <v>#REF!</v>
      </c>
      <c r="HF40" t="e">
        <f>AND(#REF!,"AAAAAF5Z/tU=")</f>
        <v>#REF!</v>
      </c>
      <c r="HG40" t="e">
        <f>AND(#REF!,"AAAAAF5Z/tY=")</f>
        <v>#REF!</v>
      </c>
      <c r="HH40" t="e">
        <f>AND(#REF!,"AAAAAF5Z/tc=")</f>
        <v>#REF!</v>
      </c>
      <c r="HI40" t="e">
        <f>AND(#REF!,"AAAAAF5Z/tg=")</f>
        <v>#REF!</v>
      </c>
      <c r="HJ40" t="e">
        <f>AND(#REF!,"AAAAAF5Z/tk=")</f>
        <v>#REF!</v>
      </c>
      <c r="HK40" t="e">
        <f>AND(#REF!,"AAAAAF5Z/to=")</f>
        <v>#REF!</v>
      </c>
      <c r="HL40" t="e">
        <f>AND(#REF!,"AAAAAF5Z/ts=")</f>
        <v>#REF!</v>
      </c>
      <c r="HM40" t="e">
        <f>AND(#REF!,"AAAAAF5Z/tw=")</f>
        <v>#REF!</v>
      </c>
      <c r="HN40" t="e">
        <f>IF(#REF!,"AAAAAF5Z/t0=",0)</f>
        <v>#REF!</v>
      </c>
      <c r="HO40" t="e">
        <f>AND(#REF!,"AAAAAF5Z/t4=")</f>
        <v>#REF!</v>
      </c>
      <c r="HP40" t="e">
        <f>AND(#REF!,"AAAAAF5Z/t8=")</f>
        <v>#REF!</v>
      </c>
      <c r="HQ40" t="e">
        <f>AND(#REF!,"AAAAAF5Z/uA=")</f>
        <v>#REF!</v>
      </c>
      <c r="HR40" t="e">
        <f>AND(#REF!,"AAAAAF5Z/uE=")</f>
        <v>#REF!</v>
      </c>
      <c r="HS40" t="e">
        <f>AND(#REF!,"AAAAAF5Z/uI=")</f>
        <v>#REF!</v>
      </c>
      <c r="HT40" t="e">
        <f>AND(#REF!,"AAAAAF5Z/uM=")</f>
        <v>#REF!</v>
      </c>
      <c r="HU40" t="e">
        <f>AND(#REF!,"AAAAAF5Z/uQ=")</f>
        <v>#REF!</v>
      </c>
      <c r="HV40" t="e">
        <f>AND(#REF!,"AAAAAF5Z/uU=")</f>
        <v>#REF!</v>
      </c>
      <c r="HW40" t="e">
        <f>AND(#REF!,"AAAAAF5Z/uY=")</f>
        <v>#REF!</v>
      </c>
      <c r="HX40" t="e">
        <f>AND(#REF!,"AAAAAF5Z/uc=")</f>
        <v>#REF!</v>
      </c>
      <c r="HY40" t="e">
        <f>AND(#REF!,"AAAAAF5Z/ug=")</f>
        <v>#REF!</v>
      </c>
      <c r="HZ40" t="e">
        <f>AND(#REF!,"AAAAAF5Z/uk=")</f>
        <v>#REF!</v>
      </c>
      <c r="IA40" t="e">
        <f>AND(#REF!,"AAAAAF5Z/uo=")</f>
        <v>#REF!</v>
      </c>
      <c r="IB40" t="e">
        <f>AND(#REF!,"AAAAAF5Z/us=")</f>
        <v>#REF!</v>
      </c>
      <c r="IC40" t="e">
        <f>AND(#REF!,"AAAAAF5Z/uw=")</f>
        <v>#REF!</v>
      </c>
      <c r="ID40" t="e">
        <f>AND(#REF!,"AAAAAF5Z/u0=")</f>
        <v>#REF!</v>
      </c>
      <c r="IE40" t="e">
        <f>AND(#REF!,"AAAAAF5Z/u4=")</f>
        <v>#REF!</v>
      </c>
      <c r="IF40" t="e">
        <f>AND(#REF!,"AAAAAF5Z/u8=")</f>
        <v>#REF!</v>
      </c>
      <c r="IG40" t="e">
        <f>AND(#REF!,"AAAAAF5Z/vA=")</f>
        <v>#REF!</v>
      </c>
      <c r="IH40" t="e">
        <f>AND(#REF!,"AAAAAF5Z/vE=")</f>
        <v>#REF!</v>
      </c>
      <c r="II40" t="e">
        <f>AND(#REF!,"AAAAAF5Z/vI=")</f>
        <v>#REF!</v>
      </c>
      <c r="IJ40" t="e">
        <f>AND(#REF!,"AAAAAF5Z/vM=")</f>
        <v>#REF!</v>
      </c>
      <c r="IK40" t="e">
        <f>AND(#REF!,"AAAAAF5Z/vQ=")</f>
        <v>#REF!</v>
      </c>
      <c r="IL40" t="e">
        <f>IF(#REF!,"AAAAAF5Z/vU=",0)</f>
        <v>#REF!</v>
      </c>
      <c r="IM40" t="e">
        <f>AND(#REF!,"AAAAAF5Z/vY=")</f>
        <v>#REF!</v>
      </c>
      <c r="IN40" t="e">
        <f>AND(#REF!,"AAAAAF5Z/vc=")</f>
        <v>#REF!</v>
      </c>
      <c r="IO40" t="e">
        <f>AND(#REF!,"AAAAAF5Z/vg=")</f>
        <v>#REF!</v>
      </c>
      <c r="IP40" t="e">
        <f>AND(#REF!,"AAAAAF5Z/vk=")</f>
        <v>#REF!</v>
      </c>
      <c r="IQ40" t="e">
        <f>AND(#REF!,"AAAAAF5Z/vo=")</f>
        <v>#REF!</v>
      </c>
      <c r="IR40" t="e">
        <f>AND(#REF!,"AAAAAF5Z/vs=")</f>
        <v>#REF!</v>
      </c>
      <c r="IS40" t="e">
        <f>AND(#REF!,"AAAAAF5Z/vw=")</f>
        <v>#REF!</v>
      </c>
      <c r="IT40" t="e">
        <f>AND(#REF!,"AAAAAF5Z/v0=")</f>
        <v>#REF!</v>
      </c>
      <c r="IU40" t="e">
        <f>AND(#REF!,"AAAAAF5Z/v4=")</f>
        <v>#REF!</v>
      </c>
      <c r="IV40" t="e">
        <f>AND(#REF!,"AAAAAF5Z/v8=")</f>
        <v>#REF!</v>
      </c>
    </row>
    <row r="41" spans="1:256" x14ac:dyDescent="0.15">
      <c r="A41" t="e">
        <f>AND(#REF!,"AAAAAGp9ewA=")</f>
        <v>#REF!</v>
      </c>
      <c r="B41" t="e">
        <f>AND(#REF!,"AAAAAGp9ewE=")</f>
        <v>#REF!</v>
      </c>
      <c r="C41" t="e">
        <f>AND(#REF!,"AAAAAGp9ewI=")</f>
        <v>#REF!</v>
      </c>
      <c r="D41" t="e">
        <f>AND(#REF!,"AAAAAGp9ewM=")</f>
        <v>#REF!</v>
      </c>
      <c r="E41" t="e">
        <f>AND(#REF!,"AAAAAGp9ewQ=")</f>
        <v>#REF!</v>
      </c>
      <c r="F41" t="e">
        <f>AND(#REF!,"AAAAAGp9ewU=")</f>
        <v>#REF!</v>
      </c>
      <c r="G41" t="e">
        <f>AND(#REF!,"AAAAAGp9ewY=")</f>
        <v>#REF!</v>
      </c>
      <c r="H41" t="e">
        <f>AND(#REF!,"AAAAAGp9ewc=")</f>
        <v>#REF!</v>
      </c>
      <c r="I41" t="e">
        <f>AND(#REF!,"AAAAAGp9ewg=")</f>
        <v>#REF!</v>
      </c>
      <c r="J41" t="e">
        <f>AND(#REF!,"AAAAAGp9ewk=")</f>
        <v>#REF!</v>
      </c>
      <c r="K41" t="e">
        <f>AND(#REF!,"AAAAAGp9ewo=")</f>
        <v>#REF!</v>
      </c>
      <c r="L41" t="e">
        <f>AND(#REF!,"AAAAAGp9ews=")</f>
        <v>#REF!</v>
      </c>
      <c r="M41" t="e">
        <f>AND(#REF!,"AAAAAGp9eww=")</f>
        <v>#REF!</v>
      </c>
      <c r="N41" t="e">
        <f>IF(#REF!,"AAAAAGp9ew0=",0)</f>
        <v>#REF!</v>
      </c>
      <c r="O41" t="e">
        <f>AND(#REF!,"AAAAAGp9ew4=")</f>
        <v>#REF!</v>
      </c>
      <c r="P41" t="e">
        <f>AND(#REF!,"AAAAAGp9ew8=")</f>
        <v>#REF!</v>
      </c>
      <c r="Q41" t="e">
        <f>AND(#REF!,"AAAAAGp9exA=")</f>
        <v>#REF!</v>
      </c>
      <c r="R41" t="e">
        <f>AND(#REF!,"AAAAAGp9exE=")</f>
        <v>#REF!</v>
      </c>
      <c r="S41" t="e">
        <f>AND(#REF!,"AAAAAGp9exI=")</f>
        <v>#REF!</v>
      </c>
      <c r="T41" t="e">
        <f>AND(#REF!,"AAAAAGp9exM=")</f>
        <v>#REF!</v>
      </c>
      <c r="U41" t="e">
        <f>AND(#REF!,"AAAAAGp9exQ=")</f>
        <v>#REF!</v>
      </c>
      <c r="V41" t="e">
        <f>AND(#REF!,"AAAAAGp9exU=")</f>
        <v>#REF!</v>
      </c>
      <c r="W41" t="e">
        <f>AND(#REF!,"AAAAAGp9exY=")</f>
        <v>#REF!</v>
      </c>
      <c r="X41" t="e">
        <f>AND(#REF!,"AAAAAGp9exc=")</f>
        <v>#REF!</v>
      </c>
      <c r="Y41" t="e">
        <f>AND(#REF!,"AAAAAGp9exg=")</f>
        <v>#REF!</v>
      </c>
      <c r="Z41" t="e">
        <f>AND(#REF!,"AAAAAGp9exk=")</f>
        <v>#REF!</v>
      </c>
      <c r="AA41" t="e">
        <f>AND(#REF!,"AAAAAGp9exo=")</f>
        <v>#REF!</v>
      </c>
      <c r="AB41" t="e">
        <f>AND(#REF!,"AAAAAGp9exs=")</f>
        <v>#REF!</v>
      </c>
      <c r="AC41" t="e">
        <f>AND(#REF!,"AAAAAGp9exw=")</f>
        <v>#REF!</v>
      </c>
      <c r="AD41" t="e">
        <f>AND(#REF!,"AAAAAGp9ex0=")</f>
        <v>#REF!</v>
      </c>
      <c r="AE41" t="e">
        <f>AND(#REF!,"AAAAAGp9ex4=")</f>
        <v>#REF!</v>
      </c>
      <c r="AF41" t="e">
        <f>AND(#REF!,"AAAAAGp9ex8=")</f>
        <v>#REF!</v>
      </c>
      <c r="AG41" t="e">
        <f>AND(#REF!,"AAAAAGp9eyA=")</f>
        <v>#REF!</v>
      </c>
      <c r="AH41" t="e">
        <f>AND(#REF!,"AAAAAGp9eyE=")</f>
        <v>#REF!</v>
      </c>
      <c r="AI41" t="e">
        <f>AND(#REF!,"AAAAAGp9eyI=")</f>
        <v>#REF!</v>
      </c>
      <c r="AJ41" t="e">
        <f>AND(#REF!,"AAAAAGp9eyM=")</f>
        <v>#REF!</v>
      </c>
      <c r="AK41" t="e">
        <f>AND(#REF!,"AAAAAGp9eyQ=")</f>
        <v>#REF!</v>
      </c>
      <c r="AL41" t="e">
        <f>IF(#REF!,"AAAAAGp9eyU=",0)</f>
        <v>#REF!</v>
      </c>
      <c r="AM41" t="e">
        <f>AND(#REF!,"AAAAAGp9eyY=")</f>
        <v>#REF!</v>
      </c>
      <c r="AN41" t="e">
        <f>AND(#REF!,"AAAAAGp9eyc=")</f>
        <v>#REF!</v>
      </c>
      <c r="AO41" t="e">
        <f>AND(#REF!,"AAAAAGp9eyg=")</f>
        <v>#REF!</v>
      </c>
      <c r="AP41" t="e">
        <f>AND(#REF!,"AAAAAGp9eyk=")</f>
        <v>#REF!</v>
      </c>
      <c r="AQ41" t="e">
        <f>AND(#REF!,"AAAAAGp9eyo=")</f>
        <v>#REF!</v>
      </c>
      <c r="AR41" t="e">
        <f>AND(#REF!,"AAAAAGp9eys=")</f>
        <v>#REF!</v>
      </c>
      <c r="AS41" t="e">
        <f>AND(#REF!,"AAAAAGp9eyw=")</f>
        <v>#REF!</v>
      </c>
      <c r="AT41" t="e">
        <f>AND(#REF!,"AAAAAGp9ey0=")</f>
        <v>#REF!</v>
      </c>
      <c r="AU41" t="e">
        <f>AND(#REF!,"AAAAAGp9ey4=")</f>
        <v>#REF!</v>
      </c>
      <c r="AV41" t="e">
        <f>AND(#REF!,"AAAAAGp9ey8=")</f>
        <v>#REF!</v>
      </c>
      <c r="AW41" t="e">
        <f>AND(#REF!,"AAAAAGp9ezA=")</f>
        <v>#REF!</v>
      </c>
      <c r="AX41" t="e">
        <f>AND(#REF!,"AAAAAGp9ezE=")</f>
        <v>#REF!</v>
      </c>
      <c r="AY41" t="e">
        <f>AND(#REF!,"AAAAAGp9ezI=")</f>
        <v>#REF!</v>
      </c>
      <c r="AZ41" t="e">
        <f>AND(#REF!,"AAAAAGp9ezM=")</f>
        <v>#REF!</v>
      </c>
      <c r="BA41" t="e">
        <f>AND(#REF!,"AAAAAGp9ezQ=")</f>
        <v>#REF!</v>
      </c>
      <c r="BB41" t="e">
        <f>AND(#REF!,"AAAAAGp9ezU=")</f>
        <v>#REF!</v>
      </c>
      <c r="BC41" t="e">
        <f>AND(#REF!,"AAAAAGp9ezY=")</f>
        <v>#REF!</v>
      </c>
      <c r="BD41" t="e">
        <f>AND(#REF!,"AAAAAGp9ezc=")</f>
        <v>#REF!</v>
      </c>
      <c r="BE41" t="e">
        <f>AND(#REF!,"AAAAAGp9ezg=")</f>
        <v>#REF!</v>
      </c>
      <c r="BF41" t="e">
        <f>AND(#REF!,"AAAAAGp9ezk=")</f>
        <v>#REF!</v>
      </c>
      <c r="BG41" t="e">
        <f>AND(#REF!,"AAAAAGp9ezo=")</f>
        <v>#REF!</v>
      </c>
      <c r="BH41" t="e">
        <f>AND(#REF!,"AAAAAGp9ezs=")</f>
        <v>#REF!</v>
      </c>
      <c r="BI41" t="e">
        <f>AND(#REF!,"AAAAAGp9ezw=")</f>
        <v>#REF!</v>
      </c>
      <c r="BJ41" t="e">
        <f>IF(#REF!,"AAAAAGp9ez0=",0)</f>
        <v>#REF!</v>
      </c>
      <c r="BK41" t="e">
        <f>AND(#REF!,"AAAAAGp9ez4=")</f>
        <v>#REF!</v>
      </c>
      <c r="BL41" t="e">
        <f>AND(#REF!,"AAAAAGp9ez8=")</f>
        <v>#REF!</v>
      </c>
      <c r="BM41" t="e">
        <f>AND(#REF!,"AAAAAGp9e0A=")</f>
        <v>#REF!</v>
      </c>
      <c r="BN41" t="e">
        <f>AND(#REF!,"AAAAAGp9e0E=")</f>
        <v>#REF!</v>
      </c>
      <c r="BO41" t="e">
        <f>AND(#REF!,"AAAAAGp9e0I=")</f>
        <v>#REF!</v>
      </c>
      <c r="BP41" t="e">
        <f>AND(#REF!,"AAAAAGp9e0M=")</f>
        <v>#REF!</v>
      </c>
      <c r="BQ41" t="e">
        <f>AND(#REF!,"AAAAAGp9e0Q=")</f>
        <v>#REF!</v>
      </c>
      <c r="BR41" t="e">
        <f>AND(#REF!,"AAAAAGp9e0U=")</f>
        <v>#REF!</v>
      </c>
      <c r="BS41" t="e">
        <f>AND(#REF!,"AAAAAGp9e0Y=")</f>
        <v>#REF!</v>
      </c>
      <c r="BT41" t="e">
        <f>AND(#REF!,"AAAAAGp9e0c=")</f>
        <v>#REF!</v>
      </c>
      <c r="BU41" t="e">
        <f>AND(#REF!,"AAAAAGp9e0g=")</f>
        <v>#REF!</v>
      </c>
      <c r="BV41" t="e">
        <f>AND(#REF!,"AAAAAGp9e0k=")</f>
        <v>#REF!</v>
      </c>
      <c r="BW41" t="e">
        <f>AND(#REF!,"AAAAAGp9e0o=")</f>
        <v>#REF!</v>
      </c>
      <c r="BX41" t="e">
        <f>AND(#REF!,"AAAAAGp9e0s=")</f>
        <v>#REF!</v>
      </c>
      <c r="BY41" t="e">
        <f>AND(#REF!,"AAAAAGp9e0w=")</f>
        <v>#REF!</v>
      </c>
      <c r="BZ41" t="e">
        <f>AND(#REF!,"AAAAAGp9e00=")</f>
        <v>#REF!</v>
      </c>
      <c r="CA41" t="e">
        <f>AND(#REF!,"AAAAAGp9e04=")</f>
        <v>#REF!</v>
      </c>
      <c r="CB41" t="e">
        <f>AND(#REF!,"AAAAAGp9e08=")</f>
        <v>#REF!</v>
      </c>
      <c r="CC41" t="e">
        <f>AND(#REF!,"AAAAAGp9e1A=")</f>
        <v>#REF!</v>
      </c>
      <c r="CD41" t="e">
        <f>AND(#REF!,"AAAAAGp9e1E=")</f>
        <v>#REF!</v>
      </c>
      <c r="CE41" t="e">
        <f>AND(#REF!,"AAAAAGp9e1I=")</f>
        <v>#REF!</v>
      </c>
      <c r="CF41" t="e">
        <f>AND(#REF!,"AAAAAGp9e1M=")</f>
        <v>#REF!</v>
      </c>
      <c r="CG41" t="e">
        <f>AND(#REF!,"AAAAAGp9e1Q=")</f>
        <v>#REF!</v>
      </c>
      <c r="CH41" t="e">
        <f>IF(#REF!,"AAAAAGp9e1U=",0)</f>
        <v>#REF!</v>
      </c>
      <c r="CI41" t="e">
        <f>AND(#REF!,"AAAAAGp9e1Y=")</f>
        <v>#REF!</v>
      </c>
      <c r="CJ41" t="e">
        <f>AND(#REF!,"AAAAAGp9e1c=")</f>
        <v>#REF!</v>
      </c>
      <c r="CK41" t="e">
        <f>AND(#REF!,"AAAAAGp9e1g=")</f>
        <v>#REF!</v>
      </c>
      <c r="CL41" t="e">
        <f>AND(#REF!,"AAAAAGp9e1k=")</f>
        <v>#REF!</v>
      </c>
      <c r="CM41" t="e">
        <f>AND(#REF!,"AAAAAGp9e1o=")</f>
        <v>#REF!</v>
      </c>
      <c r="CN41" t="e">
        <f>AND(#REF!,"AAAAAGp9e1s=")</f>
        <v>#REF!</v>
      </c>
      <c r="CO41" t="e">
        <f>AND(#REF!,"AAAAAGp9e1w=")</f>
        <v>#REF!</v>
      </c>
      <c r="CP41" t="e">
        <f>AND(#REF!,"AAAAAGp9e10=")</f>
        <v>#REF!</v>
      </c>
      <c r="CQ41" t="e">
        <f>AND(#REF!,"AAAAAGp9e14=")</f>
        <v>#REF!</v>
      </c>
      <c r="CR41" t="e">
        <f>AND(#REF!,"AAAAAGp9e18=")</f>
        <v>#REF!</v>
      </c>
      <c r="CS41" t="e">
        <f>AND(#REF!,"AAAAAGp9e2A=")</f>
        <v>#REF!</v>
      </c>
      <c r="CT41" t="e">
        <f>AND(#REF!,"AAAAAGp9e2E=")</f>
        <v>#REF!</v>
      </c>
      <c r="CU41" t="e">
        <f>AND(#REF!,"AAAAAGp9e2I=")</f>
        <v>#REF!</v>
      </c>
      <c r="CV41" t="e">
        <f>AND(#REF!,"AAAAAGp9e2M=")</f>
        <v>#REF!</v>
      </c>
      <c r="CW41" t="e">
        <f>AND(#REF!,"AAAAAGp9e2Q=")</f>
        <v>#REF!</v>
      </c>
      <c r="CX41" t="e">
        <f>AND(#REF!,"AAAAAGp9e2U=")</f>
        <v>#REF!</v>
      </c>
      <c r="CY41" t="e">
        <f>AND(#REF!,"AAAAAGp9e2Y=")</f>
        <v>#REF!</v>
      </c>
      <c r="CZ41" t="e">
        <f>AND(#REF!,"AAAAAGp9e2c=")</f>
        <v>#REF!</v>
      </c>
      <c r="DA41" t="e">
        <f>AND(#REF!,"AAAAAGp9e2g=")</f>
        <v>#REF!</v>
      </c>
      <c r="DB41" t="e">
        <f>AND(#REF!,"AAAAAGp9e2k=")</f>
        <v>#REF!</v>
      </c>
      <c r="DC41" t="e">
        <f>AND(#REF!,"AAAAAGp9e2o=")</f>
        <v>#REF!</v>
      </c>
      <c r="DD41" t="e">
        <f>AND(#REF!,"AAAAAGp9e2s=")</f>
        <v>#REF!</v>
      </c>
      <c r="DE41" t="e">
        <f>AND(#REF!,"AAAAAGp9e2w=")</f>
        <v>#REF!</v>
      </c>
      <c r="DF41" t="e">
        <f>IF(#REF!,"AAAAAGp9e20=",0)</f>
        <v>#REF!</v>
      </c>
      <c r="DG41" t="e">
        <f>AND(#REF!,"AAAAAGp9e24=")</f>
        <v>#REF!</v>
      </c>
      <c r="DH41" t="e">
        <f>AND(#REF!,"AAAAAGp9e28=")</f>
        <v>#REF!</v>
      </c>
      <c r="DI41" t="e">
        <f>AND(#REF!,"AAAAAGp9e3A=")</f>
        <v>#REF!</v>
      </c>
      <c r="DJ41" t="e">
        <f>AND(#REF!,"AAAAAGp9e3E=")</f>
        <v>#REF!</v>
      </c>
      <c r="DK41" t="e">
        <f>AND(#REF!,"AAAAAGp9e3I=")</f>
        <v>#REF!</v>
      </c>
      <c r="DL41" t="e">
        <f>AND(#REF!,"AAAAAGp9e3M=")</f>
        <v>#REF!</v>
      </c>
      <c r="DM41" t="e">
        <f>AND(#REF!,"AAAAAGp9e3Q=")</f>
        <v>#REF!</v>
      </c>
      <c r="DN41" t="e">
        <f>AND(#REF!,"AAAAAGp9e3U=")</f>
        <v>#REF!</v>
      </c>
      <c r="DO41" t="e">
        <f>AND(#REF!,"AAAAAGp9e3Y=")</f>
        <v>#REF!</v>
      </c>
      <c r="DP41" t="e">
        <f>AND(#REF!,"AAAAAGp9e3c=")</f>
        <v>#REF!</v>
      </c>
      <c r="DQ41" t="e">
        <f>AND(#REF!,"AAAAAGp9e3g=")</f>
        <v>#REF!</v>
      </c>
      <c r="DR41" t="e">
        <f>AND(#REF!,"AAAAAGp9e3k=")</f>
        <v>#REF!</v>
      </c>
      <c r="DS41" t="e">
        <f>AND(#REF!,"AAAAAGp9e3o=")</f>
        <v>#REF!</v>
      </c>
      <c r="DT41" t="e">
        <f>AND(#REF!,"AAAAAGp9e3s=")</f>
        <v>#REF!</v>
      </c>
      <c r="DU41" t="e">
        <f>AND(#REF!,"AAAAAGp9e3w=")</f>
        <v>#REF!</v>
      </c>
      <c r="DV41" t="e">
        <f>AND(#REF!,"AAAAAGp9e30=")</f>
        <v>#REF!</v>
      </c>
      <c r="DW41" t="e">
        <f>AND(#REF!,"AAAAAGp9e34=")</f>
        <v>#REF!</v>
      </c>
      <c r="DX41" t="e">
        <f>AND(#REF!,"AAAAAGp9e38=")</f>
        <v>#REF!</v>
      </c>
      <c r="DY41" t="e">
        <f>AND(#REF!,"AAAAAGp9e4A=")</f>
        <v>#REF!</v>
      </c>
      <c r="DZ41" t="e">
        <f>AND(#REF!,"AAAAAGp9e4E=")</f>
        <v>#REF!</v>
      </c>
      <c r="EA41" t="e">
        <f>AND(#REF!,"AAAAAGp9e4I=")</f>
        <v>#REF!</v>
      </c>
      <c r="EB41" t="e">
        <f>AND(#REF!,"AAAAAGp9e4M=")</f>
        <v>#REF!</v>
      </c>
      <c r="EC41" t="e">
        <f>AND(#REF!,"AAAAAGp9e4Q=")</f>
        <v>#REF!</v>
      </c>
      <c r="ED41" t="e">
        <f>IF(#REF!,"AAAAAGp9e4U=",0)</f>
        <v>#REF!</v>
      </c>
      <c r="EE41" t="e">
        <f>AND(#REF!,"AAAAAGp9e4Y=")</f>
        <v>#REF!</v>
      </c>
      <c r="EF41" t="e">
        <f>AND(#REF!,"AAAAAGp9e4c=")</f>
        <v>#REF!</v>
      </c>
      <c r="EG41" t="e">
        <f>AND(#REF!,"AAAAAGp9e4g=")</f>
        <v>#REF!</v>
      </c>
      <c r="EH41" t="e">
        <f>AND(#REF!,"AAAAAGp9e4k=")</f>
        <v>#REF!</v>
      </c>
      <c r="EI41" t="e">
        <f>AND(#REF!,"AAAAAGp9e4o=")</f>
        <v>#REF!</v>
      </c>
      <c r="EJ41" t="e">
        <f>AND(#REF!,"AAAAAGp9e4s=")</f>
        <v>#REF!</v>
      </c>
      <c r="EK41" t="e">
        <f>AND(#REF!,"AAAAAGp9e4w=")</f>
        <v>#REF!</v>
      </c>
      <c r="EL41" t="e">
        <f>AND(#REF!,"AAAAAGp9e40=")</f>
        <v>#REF!</v>
      </c>
      <c r="EM41" t="e">
        <f>AND(#REF!,"AAAAAGp9e44=")</f>
        <v>#REF!</v>
      </c>
      <c r="EN41" t="e">
        <f>AND(#REF!,"AAAAAGp9e48=")</f>
        <v>#REF!</v>
      </c>
      <c r="EO41" t="e">
        <f>AND(#REF!,"AAAAAGp9e5A=")</f>
        <v>#REF!</v>
      </c>
      <c r="EP41" t="e">
        <f>AND(#REF!,"AAAAAGp9e5E=")</f>
        <v>#REF!</v>
      </c>
      <c r="EQ41" t="e">
        <f>AND(#REF!,"AAAAAGp9e5I=")</f>
        <v>#REF!</v>
      </c>
      <c r="ER41" t="e">
        <f>AND(#REF!,"AAAAAGp9e5M=")</f>
        <v>#REF!</v>
      </c>
      <c r="ES41" t="e">
        <f>AND(#REF!,"AAAAAGp9e5Q=")</f>
        <v>#REF!</v>
      </c>
      <c r="ET41" t="e">
        <f>AND(#REF!,"AAAAAGp9e5U=")</f>
        <v>#REF!</v>
      </c>
      <c r="EU41" t="e">
        <f>AND(#REF!,"AAAAAGp9e5Y=")</f>
        <v>#REF!</v>
      </c>
      <c r="EV41" t="e">
        <f>AND(#REF!,"AAAAAGp9e5c=")</f>
        <v>#REF!</v>
      </c>
      <c r="EW41" t="e">
        <f>AND(#REF!,"AAAAAGp9e5g=")</f>
        <v>#REF!</v>
      </c>
      <c r="EX41" t="e">
        <f>AND(#REF!,"AAAAAGp9e5k=")</f>
        <v>#REF!</v>
      </c>
      <c r="EY41" t="e">
        <f>AND(#REF!,"AAAAAGp9e5o=")</f>
        <v>#REF!</v>
      </c>
      <c r="EZ41" t="e">
        <f>AND(#REF!,"AAAAAGp9e5s=")</f>
        <v>#REF!</v>
      </c>
      <c r="FA41" t="e">
        <f>AND(#REF!,"AAAAAGp9e5w=")</f>
        <v>#REF!</v>
      </c>
      <c r="FB41" t="e">
        <f>IF(#REF!,"AAAAAGp9e50=",0)</f>
        <v>#REF!</v>
      </c>
      <c r="FC41" t="e">
        <f>AND(#REF!,"AAAAAGp9e54=")</f>
        <v>#REF!</v>
      </c>
      <c r="FD41" t="e">
        <f>AND(#REF!,"AAAAAGp9e58=")</f>
        <v>#REF!</v>
      </c>
      <c r="FE41" t="e">
        <f>AND(#REF!,"AAAAAGp9e6A=")</f>
        <v>#REF!</v>
      </c>
      <c r="FF41" t="e">
        <f>AND(#REF!,"AAAAAGp9e6E=")</f>
        <v>#REF!</v>
      </c>
      <c r="FG41" t="e">
        <f>AND(#REF!,"AAAAAGp9e6I=")</f>
        <v>#REF!</v>
      </c>
      <c r="FH41" t="e">
        <f>AND(#REF!,"AAAAAGp9e6M=")</f>
        <v>#REF!</v>
      </c>
      <c r="FI41" t="e">
        <f>AND(#REF!,"AAAAAGp9e6Q=")</f>
        <v>#REF!</v>
      </c>
      <c r="FJ41" t="e">
        <f>AND(#REF!,"AAAAAGp9e6U=")</f>
        <v>#REF!</v>
      </c>
      <c r="FK41" t="e">
        <f>AND(#REF!,"AAAAAGp9e6Y=")</f>
        <v>#REF!</v>
      </c>
      <c r="FL41" t="e">
        <f>AND(#REF!,"AAAAAGp9e6c=")</f>
        <v>#REF!</v>
      </c>
      <c r="FM41" t="e">
        <f>AND(#REF!,"AAAAAGp9e6g=")</f>
        <v>#REF!</v>
      </c>
      <c r="FN41" t="e">
        <f>AND(#REF!,"AAAAAGp9e6k=")</f>
        <v>#REF!</v>
      </c>
      <c r="FO41" t="e">
        <f>AND(#REF!,"AAAAAGp9e6o=")</f>
        <v>#REF!</v>
      </c>
      <c r="FP41" t="e">
        <f>AND(#REF!,"AAAAAGp9e6s=")</f>
        <v>#REF!</v>
      </c>
      <c r="FQ41" t="e">
        <f>AND(#REF!,"AAAAAGp9e6w=")</f>
        <v>#REF!</v>
      </c>
      <c r="FR41" t="e">
        <f>AND(#REF!,"AAAAAGp9e60=")</f>
        <v>#REF!</v>
      </c>
      <c r="FS41" t="e">
        <f>AND(#REF!,"AAAAAGp9e64=")</f>
        <v>#REF!</v>
      </c>
      <c r="FT41" t="e">
        <f>AND(#REF!,"AAAAAGp9e68=")</f>
        <v>#REF!</v>
      </c>
      <c r="FU41" t="e">
        <f>AND(#REF!,"AAAAAGp9e7A=")</f>
        <v>#REF!</v>
      </c>
      <c r="FV41" t="e">
        <f>AND(#REF!,"AAAAAGp9e7E=")</f>
        <v>#REF!</v>
      </c>
      <c r="FW41" t="e">
        <f>AND(#REF!,"AAAAAGp9e7I=")</f>
        <v>#REF!</v>
      </c>
      <c r="FX41" t="e">
        <f>AND(#REF!,"AAAAAGp9e7M=")</f>
        <v>#REF!</v>
      </c>
      <c r="FY41" t="e">
        <f>AND(#REF!,"AAAAAGp9e7Q=")</f>
        <v>#REF!</v>
      </c>
      <c r="FZ41" t="e">
        <f>IF(#REF!,"AAAAAGp9e7U=",0)</f>
        <v>#REF!</v>
      </c>
      <c r="GA41" t="e">
        <f>AND(#REF!,"AAAAAGp9e7Y=")</f>
        <v>#REF!</v>
      </c>
      <c r="GB41" t="e">
        <f>AND(#REF!,"AAAAAGp9e7c=")</f>
        <v>#REF!</v>
      </c>
      <c r="GC41" t="e">
        <f>AND(#REF!,"AAAAAGp9e7g=")</f>
        <v>#REF!</v>
      </c>
      <c r="GD41" t="e">
        <f>AND(#REF!,"AAAAAGp9e7k=")</f>
        <v>#REF!</v>
      </c>
      <c r="GE41" t="e">
        <f>AND(#REF!,"AAAAAGp9e7o=")</f>
        <v>#REF!</v>
      </c>
      <c r="GF41" t="e">
        <f>AND(#REF!,"AAAAAGp9e7s=")</f>
        <v>#REF!</v>
      </c>
      <c r="GG41" t="e">
        <f>AND(#REF!,"AAAAAGp9e7w=")</f>
        <v>#REF!</v>
      </c>
      <c r="GH41" t="e">
        <f>AND(#REF!,"AAAAAGp9e70=")</f>
        <v>#REF!</v>
      </c>
      <c r="GI41" t="e">
        <f>AND(#REF!,"AAAAAGp9e74=")</f>
        <v>#REF!</v>
      </c>
      <c r="GJ41" t="e">
        <f>AND(#REF!,"AAAAAGp9e78=")</f>
        <v>#REF!</v>
      </c>
      <c r="GK41" t="e">
        <f>AND(#REF!,"AAAAAGp9e8A=")</f>
        <v>#REF!</v>
      </c>
      <c r="GL41" t="e">
        <f>AND(#REF!,"AAAAAGp9e8E=")</f>
        <v>#REF!</v>
      </c>
      <c r="GM41" t="e">
        <f>AND(#REF!,"AAAAAGp9e8I=")</f>
        <v>#REF!</v>
      </c>
      <c r="GN41" t="e">
        <f>AND(#REF!,"AAAAAGp9e8M=")</f>
        <v>#REF!</v>
      </c>
      <c r="GO41" t="e">
        <f>AND(#REF!,"AAAAAGp9e8Q=")</f>
        <v>#REF!</v>
      </c>
      <c r="GP41" t="e">
        <f>AND(#REF!,"AAAAAGp9e8U=")</f>
        <v>#REF!</v>
      </c>
      <c r="GQ41" t="e">
        <f>AND(#REF!,"AAAAAGp9e8Y=")</f>
        <v>#REF!</v>
      </c>
      <c r="GR41" t="e">
        <f>AND(#REF!,"AAAAAGp9e8c=")</f>
        <v>#REF!</v>
      </c>
      <c r="GS41" t="e">
        <f>AND(#REF!,"AAAAAGp9e8g=")</f>
        <v>#REF!</v>
      </c>
      <c r="GT41" t="e">
        <f>AND(#REF!,"AAAAAGp9e8k=")</f>
        <v>#REF!</v>
      </c>
      <c r="GU41" t="e">
        <f>AND(#REF!,"AAAAAGp9e8o=")</f>
        <v>#REF!</v>
      </c>
      <c r="GV41" t="e">
        <f>AND(#REF!,"AAAAAGp9e8s=")</f>
        <v>#REF!</v>
      </c>
      <c r="GW41" t="e">
        <f>AND(#REF!,"AAAAAGp9e8w=")</f>
        <v>#REF!</v>
      </c>
      <c r="GX41" t="e">
        <f>IF(#REF!,"AAAAAGp9e80=",0)</f>
        <v>#REF!</v>
      </c>
      <c r="GY41" t="e">
        <f>AND(#REF!,"AAAAAGp9e84=")</f>
        <v>#REF!</v>
      </c>
      <c r="GZ41" t="e">
        <f>AND(#REF!,"AAAAAGp9e88=")</f>
        <v>#REF!</v>
      </c>
      <c r="HA41" t="e">
        <f>AND(#REF!,"AAAAAGp9e9A=")</f>
        <v>#REF!</v>
      </c>
      <c r="HB41" t="e">
        <f>AND(#REF!,"AAAAAGp9e9E=")</f>
        <v>#REF!</v>
      </c>
      <c r="HC41" t="e">
        <f>AND(#REF!,"AAAAAGp9e9I=")</f>
        <v>#REF!</v>
      </c>
      <c r="HD41" t="e">
        <f>AND(#REF!,"AAAAAGp9e9M=")</f>
        <v>#REF!</v>
      </c>
      <c r="HE41" t="e">
        <f>AND(#REF!,"AAAAAGp9e9Q=")</f>
        <v>#REF!</v>
      </c>
      <c r="HF41" t="e">
        <f>AND(#REF!,"AAAAAGp9e9U=")</f>
        <v>#REF!</v>
      </c>
      <c r="HG41" t="e">
        <f>AND(#REF!,"AAAAAGp9e9Y=")</f>
        <v>#REF!</v>
      </c>
      <c r="HH41" t="e">
        <f>AND(#REF!,"AAAAAGp9e9c=")</f>
        <v>#REF!</v>
      </c>
      <c r="HI41" t="e">
        <f>AND(#REF!,"AAAAAGp9e9g=")</f>
        <v>#REF!</v>
      </c>
      <c r="HJ41" t="e">
        <f>AND(#REF!,"AAAAAGp9e9k=")</f>
        <v>#REF!</v>
      </c>
      <c r="HK41" t="e">
        <f>AND(#REF!,"AAAAAGp9e9o=")</f>
        <v>#REF!</v>
      </c>
      <c r="HL41" t="e">
        <f>AND(#REF!,"AAAAAGp9e9s=")</f>
        <v>#REF!</v>
      </c>
      <c r="HM41" t="e">
        <f>AND(#REF!,"AAAAAGp9e9w=")</f>
        <v>#REF!</v>
      </c>
      <c r="HN41" t="e">
        <f>AND(#REF!,"AAAAAGp9e90=")</f>
        <v>#REF!</v>
      </c>
      <c r="HO41" t="e">
        <f>AND(#REF!,"AAAAAGp9e94=")</f>
        <v>#REF!</v>
      </c>
      <c r="HP41" t="e">
        <f>AND(#REF!,"AAAAAGp9e98=")</f>
        <v>#REF!</v>
      </c>
      <c r="HQ41" t="e">
        <f>AND(#REF!,"AAAAAGp9e+A=")</f>
        <v>#REF!</v>
      </c>
      <c r="HR41" t="e">
        <f>AND(#REF!,"AAAAAGp9e+E=")</f>
        <v>#REF!</v>
      </c>
      <c r="HS41" t="e">
        <f>AND(#REF!,"AAAAAGp9e+I=")</f>
        <v>#REF!</v>
      </c>
      <c r="HT41" t="e">
        <f>AND(#REF!,"AAAAAGp9e+M=")</f>
        <v>#REF!</v>
      </c>
      <c r="HU41" t="e">
        <f>AND(#REF!,"AAAAAGp9e+Q=")</f>
        <v>#REF!</v>
      </c>
      <c r="HV41" t="e">
        <f>IF(#REF!,"AAAAAGp9e+U=",0)</f>
        <v>#REF!</v>
      </c>
      <c r="HW41" t="e">
        <f>AND(#REF!,"AAAAAGp9e+Y=")</f>
        <v>#REF!</v>
      </c>
      <c r="HX41" t="e">
        <f>AND(#REF!,"AAAAAGp9e+c=")</f>
        <v>#REF!</v>
      </c>
      <c r="HY41" t="e">
        <f>AND(#REF!,"AAAAAGp9e+g=")</f>
        <v>#REF!</v>
      </c>
      <c r="HZ41" t="e">
        <f>AND(#REF!,"AAAAAGp9e+k=")</f>
        <v>#REF!</v>
      </c>
      <c r="IA41" t="e">
        <f>AND(#REF!,"AAAAAGp9e+o=")</f>
        <v>#REF!</v>
      </c>
      <c r="IB41" t="e">
        <f>AND(#REF!,"AAAAAGp9e+s=")</f>
        <v>#REF!</v>
      </c>
      <c r="IC41" t="e">
        <f>AND(#REF!,"AAAAAGp9e+w=")</f>
        <v>#REF!</v>
      </c>
      <c r="ID41" t="e">
        <f>AND(#REF!,"AAAAAGp9e+0=")</f>
        <v>#REF!</v>
      </c>
      <c r="IE41" t="e">
        <f>AND(#REF!,"AAAAAGp9e+4=")</f>
        <v>#REF!</v>
      </c>
      <c r="IF41" t="e">
        <f>AND(#REF!,"AAAAAGp9e+8=")</f>
        <v>#REF!</v>
      </c>
      <c r="IG41" t="e">
        <f>AND(#REF!,"AAAAAGp9e/A=")</f>
        <v>#REF!</v>
      </c>
      <c r="IH41" t="e">
        <f>AND(#REF!,"AAAAAGp9e/E=")</f>
        <v>#REF!</v>
      </c>
      <c r="II41" t="e">
        <f>AND(#REF!,"AAAAAGp9e/I=")</f>
        <v>#REF!</v>
      </c>
      <c r="IJ41" t="e">
        <f>AND(#REF!,"AAAAAGp9e/M=")</f>
        <v>#REF!</v>
      </c>
      <c r="IK41" t="e">
        <f>AND(#REF!,"AAAAAGp9e/Q=")</f>
        <v>#REF!</v>
      </c>
      <c r="IL41" t="e">
        <f>AND(#REF!,"AAAAAGp9e/U=")</f>
        <v>#REF!</v>
      </c>
      <c r="IM41" t="e">
        <f>AND(#REF!,"AAAAAGp9e/Y=")</f>
        <v>#REF!</v>
      </c>
      <c r="IN41" t="e">
        <f>AND(#REF!,"AAAAAGp9e/c=")</f>
        <v>#REF!</v>
      </c>
      <c r="IO41" t="e">
        <f>AND(#REF!,"AAAAAGp9e/g=")</f>
        <v>#REF!</v>
      </c>
      <c r="IP41" t="e">
        <f>AND(#REF!,"AAAAAGp9e/k=")</f>
        <v>#REF!</v>
      </c>
      <c r="IQ41" t="e">
        <f>AND(#REF!,"AAAAAGp9e/o=")</f>
        <v>#REF!</v>
      </c>
      <c r="IR41" t="e">
        <f>AND(#REF!,"AAAAAGp9e/s=")</f>
        <v>#REF!</v>
      </c>
      <c r="IS41" t="e">
        <f>AND(#REF!,"AAAAAGp9e/w=")</f>
        <v>#REF!</v>
      </c>
      <c r="IT41" t="e">
        <f>IF(#REF!,"AAAAAGp9e/0=",0)</f>
        <v>#REF!</v>
      </c>
      <c r="IU41" t="e">
        <f>AND(#REF!,"AAAAAGp9e/4=")</f>
        <v>#REF!</v>
      </c>
      <c r="IV41" t="e">
        <f>AND(#REF!,"AAAAAGp9e/8=")</f>
        <v>#REF!</v>
      </c>
    </row>
    <row r="42" spans="1:256" x14ac:dyDescent="0.15">
      <c r="A42" t="e">
        <f>AND(#REF!,"AAAAAGn2nwA=")</f>
        <v>#REF!</v>
      </c>
      <c r="B42" t="e">
        <f>AND(#REF!,"AAAAAGn2nwE=")</f>
        <v>#REF!</v>
      </c>
      <c r="C42" t="e">
        <f>AND(#REF!,"AAAAAGn2nwI=")</f>
        <v>#REF!</v>
      </c>
      <c r="D42" t="e">
        <f>AND(#REF!,"AAAAAGn2nwM=")</f>
        <v>#REF!</v>
      </c>
      <c r="E42" t="e">
        <f>AND(#REF!,"AAAAAGn2nwQ=")</f>
        <v>#REF!</v>
      </c>
      <c r="F42" t="e">
        <f>AND(#REF!,"AAAAAGn2nwU=")</f>
        <v>#REF!</v>
      </c>
      <c r="G42" t="e">
        <f>AND(#REF!,"AAAAAGn2nwY=")</f>
        <v>#REF!</v>
      </c>
      <c r="H42" t="e">
        <f>AND(#REF!,"AAAAAGn2nwc=")</f>
        <v>#REF!</v>
      </c>
      <c r="I42" t="e">
        <f>AND(#REF!,"AAAAAGn2nwg=")</f>
        <v>#REF!</v>
      </c>
      <c r="J42" t="e">
        <f>AND(#REF!,"AAAAAGn2nwk=")</f>
        <v>#REF!</v>
      </c>
      <c r="K42" t="e">
        <f>AND(#REF!,"AAAAAGn2nwo=")</f>
        <v>#REF!</v>
      </c>
      <c r="L42" t="e">
        <f>AND(#REF!,"AAAAAGn2nws=")</f>
        <v>#REF!</v>
      </c>
      <c r="M42" t="e">
        <f>AND(#REF!,"AAAAAGn2nww=")</f>
        <v>#REF!</v>
      </c>
      <c r="N42" t="e">
        <f>AND(#REF!,"AAAAAGn2nw0=")</f>
        <v>#REF!</v>
      </c>
      <c r="O42" t="e">
        <f>AND(#REF!,"AAAAAGn2nw4=")</f>
        <v>#REF!</v>
      </c>
      <c r="P42" t="e">
        <f>AND(#REF!,"AAAAAGn2nw8=")</f>
        <v>#REF!</v>
      </c>
      <c r="Q42" t="e">
        <f>AND(#REF!,"AAAAAGn2nxA=")</f>
        <v>#REF!</v>
      </c>
      <c r="R42" t="e">
        <f>AND(#REF!,"AAAAAGn2nxE=")</f>
        <v>#REF!</v>
      </c>
      <c r="S42" t="e">
        <f>AND(#REF!,"AAAAAGn2nxI=")</f>
        <v>#REF!</v>
      </c>
      <c r="T42" t="e">
        <f>AND(#REF!,"AAAAAGn2nxM=")</f>
        <v>#REF!</v>
      </c>
      <c r="U42" t="e">
        <f>AND(#REF!,"AAAAAGn2nxQ=")</f>
        <v>#REF!</v>
      </c>
      <c r="V42" t="e">
        <f>IF(#REF!,"AAAAAGn2nxU=",0)</f>
        <v>#REF!</v>
      </c>
      <c r="W42" t="e">
        <f>AND(#REF!,"AAAAAGn2nxY=")</f>
        <v>#REF!</v>
      </c>
      <c r="X42" t="e">
        <f>AND(#REF!,"AAAAAGn2nxc=")</f>
        <v>#REF!</v>
      </c>
      <c r="Y42" t="e">
        <f>AND(#REF!,"AAAAAGn2nxg=")</f>
        <v>#REF!</v>
      </c>
      <c r="Z42" t="e">
        <f>AND(#REF!,"AAAAAGn2nxk=")</f>
        <v>#REF!</v>
      </c>
      <c r="AA42" t="e">
        <f>AND(#REF!,"AAAAAGn2nxo=")</f>
        <v>#REF!</v>
      </c>
      <c r="AB42" t="e">
        <f>AND(#REF!,"AAAAAGn2nxs=")</f>
        <v>#REF!</v>
      </c>
      <c r="AC42" t="e">
        <f>AND(#REF!,"AAAAAGn2nxw=")</f>
        <v>#REF!</v>
      </c>
      <c r="AD42" t="e">
        <f>AND(#REF!,"AAAAAGn2nx0=")</f>
        <v>#REF!</v>
      </c>
      <c r="AE42" t="e">
        <f>AND(#REF!,"AAAAAGn2nx4=")</f>
        <v>#REF!</v>
      </c>
      <c r="AF42" t="e">
        <f>AND(#REF!,"AAAAAGn2nx8=")</f>
        <v>#REF!</v>
      </c>
      <c r="AG42" t="e">
        <f>AND(#REF!,"AAAAAGn2nyA=")</f>
        <v>#REF!</v>
      </c>
      <c r="AH42" t="e">
        <f>AND(#REF!,"AAAAAGn2nyE=")</f>
        <v>#REF!</v>
      </c>
      <c r="AI42" t="e">
        <f>AND(#REF!,"AAAAAGn2nyI=")</f>
        <v>#REF!</v>
      </c>
      <c r="AJ42" t="e">
        <f>AND(#REF!,"AAAAAGn2nyM=")</f>
        <v>#REF!</v>
      </c>
      <c r="AK42" t="e">
        <f>AND(#REF!,"AAAAAGn2nyQ=")</f>
        <v>#REF!</v>
      </c>
      <c r="AL42" t="e">
        <f>AND(#REF!,"AAAAAGn2nyU=")</f>
        <v>#REF!</v>
      </c>
      <c r="AM42" t="e">
        <f>AND(#REF!,"AAAAAGn2nyY=")</f>
        <v>#REF!</v>
      </c>
      <c r="AN42" t="e">
        <f>AND(#REF!,"AAAAAGn2nyc=")</f>
        <v>#REF!</v>
      </c>
      <c r="AO42" t="e">
        <f>AND(#REF!,"AAAAAGn2nyg=")</f>
        <v>#REF!</v>
      </c>
      <c r="AP42" t="e">
        <f>AND(#REF!,"AAAAAGn2nyk=")</f>
        <v>#REF!</v>
      </c>
      <c r="AQ42" t="e">
        <f>AND(#REF!,"AAAAAGn2nyo=")</f>
        <v>#REF!</v>
      </c>
      <c r="AR42" t="e">
        <f>AND(#REF!,"AAAAAGn2nys=")</f>
        <v>#REF!</v>
      </c>
      <c r="AS42" t="e">
        <f>AND(#REF!,"AAAAAGn2nyw=")</f>
        <v>#REF!</v>
      </c>
      <c r="AT42" t="e">
        <f>IF(#REF!,"AAAAAGn2ny0=",0)</f>
        <v>#REF!</v>
      </c>
      <c r="AU42" t="e">
        <f>AND(#REF!,"AAAAAGn2ny4=")</f>
        <v>#REF!</v>
      </c>
      <c r="AV42" t="e">
        <f>AND(#REF!,"AAAAAGn2ny8=")</f>
        <v>#REF!</v>
      </c>
      <c r="AW42" t="e">
        <f>AND(#REF!,"AAAAAGn2nzA=")</f>
        <v>#REF!</v>
      </c>
      <c r="AX42" t="e">
        <f>AND(#REF!,"AAAAAGn2nzE=")</f>
        <v>#REF!</v>
      </c>
      <c r="AY42" t="e">
        <f>AND(#REF!,"AAAAAGn2nzI=")</f>
        <v>#REF!</v>
      </c>
      <c r="AZ42" t="e">
        <f>AND(#REF!,"AAAAAGn2nzM=")</f>
        <v>#REF!</v>
      </c>
      <c r="BA42" t="e">
        <f>AND(#REF!,"AAAAAGn2nzQ=")</f>
        <v>#REF!</v>
      </c>
      <c r="BB42" t="e">
        <f>AND(#REF!,"AAAAAGn2nzU=")</f>
        <v>#REF!</v>
      </c>
      <c r="BC42" t="e">
        <f>AND(#REF!,"AAAAAGn2nzY=")</f>
        <v>#REF!</v>
      </c>
      <c r="BD42" t="e">
        <f>AND(#REF!,"AAAAAGn2nzc=")</f>
        <v>#REF!</v>
      </c>
      <c r="BE42" t="e">
        <f>AND(#REF!,"AAAAAGn2nzg=")</f>
        <v>#REF!</v>
      </c>
      <c r="BF42" t="e">
        <f>AND(#REF!,"AAAAAGn2nzk=")</f>
        <v>#REF!</v>
      </c>
      <c r="BG42" t="e">
        <f>AND(#REF!,"AAAAAGn2nzo=")</f>
        <v>#REF!</v>
      </c>
      <c r="BH42" t="e">
        <f>AND(#REF!,"AAAAAGn2nzs=")</f>
        <v>#REF!</v>
      </c>
      <c r="BI42" t="e">
        <f>AND(#REF!,"AAAAAGn2nzw=")</f>
        <v>#REF!</v>
      </c>
      <c r="BJ42" t="e">
        <f>AND(#REF!,"AAAAAGn2nz0=")</f>
        <v>#REF!</v>
      </c>
      <c r="BK42" t="e">
        <f>AND(#REF!,"AAAAAGn2nz4=")</f>
        <v>#REF!</v>
      </c>
      <c r="BL42" t="e">
        <f>AND(#REF!,"AAAAAGn2nz8=")</f>
        <v>#REF!</v>
      </c>
      <c r="BM42" t="e">
        <f>AND(#REF!,"AAAAAGn2n0A=")</f>
        <v>#REF!</v>
      </c>
      <c r="BN42" t="e">
        <f>AND(#REF!,"AAAAAGn2n0E=")</f>
        <v>#REF!</v>
      </c>
      <c r="BO42" t="e">
        <f>AND(#REF!,"AAAAAGn2n0I=")</f>
        <v>#REF!</v>
      </c>
      <c r="BP42" t="e">
        <f>AND(#REF!,"AAAAAGn2n0M=")</f>
        <v>#REF!</v>
      </c>
      <c r="BQ42" t="e">
        <f>AND(#REF!,"AAAAAGn2n0Q=")</f>
        <v>#REF!</v>
      </c>
      <c r="BR42" t="e">
        <f>IF(#REF!,"AAAAAGn2n0U=",0)</f>
        <v>#REF!</v>
      </c>
      <c r="BS42" t="e">
        <f>AND(#REF!,"AAAAAGn2n0Y=")</f>
        <v>#REF!</v>
      </c>
      <c r="BT42" t="e">
        <f>AND(#REF!,"AAAAAGn2n0c=")</f>
        <v>#REF!</v>
      </c>
      <c r="BU42" t="e">
        <f>AND(#REF!,"AAAAAGn2n0g=")</f>
        <v>#REF!</v>
      </c>
      <c r="BV42" t="e">
        <f>AND(#REF!,"AAAAAGn2n0k=")</f>
        <v>#REF!</v>
      </c>
      <c r="BW42" t="e">
        <f>AND(#REF!,"AAAAAGn2n0o=")</f>
        <v>#REF!</v>
      </c>
      <c r="BX42" t="e">
        <f>AND(#REF!,"AAAAAGn2n0s=")</f>
        <v>#REF!</v>
      </c>
      <c r="BY42" t="e">
        <f>AND(#REF!,"AAAAAGn2n0w=")</f>
        <v>#REF!</v>
      </c>
      <c r="BZ42" t="e">
        <f>AND(#REF!,"AAAAAGn2n00=")</f>
        <v>#REF!</v>
      </c>
      <c r="CA42" t="e">
        <f>AND(#REF!,"AAAAAGn2n04=")</f>
        <v>#REF!</v>
      </c>
      <c r="CB42" t="e">
        <f>AND(#REF!,"AAAAAGn2n08=")</f>
        <v>#REF!</v>
      </c>
      <c r="CC42" t="e">
        <f>AND(#REF!,"AAAAAGn2n1A=")</f>
        <v>#REF!</v>
      </c>
      <c r="CD42" t="e">
        <f>AND(#REF!,"AAAAAGn2n1E=")</f>
        <v>#REF!</v>
      </c>
      <c r="CE42" t="e">
        <f>AND(#REF!,"AAAAAGn2n1I=")</f>
        <v>#REF!</v>
      </c>
      <c r="CF42" t="e">
        <f>AND(#REF!,"AAAAAGn2n1M=")</f>
        <v>#REF!</v>
      </c>
      <c r="CG42" t="e">
        <f>AND(#REF!,"AAAAAGn2n1Q=")</f>
        <v>#REF!</v>
      </c>
      <c r="CH42" t="e">
        <f>AND(#REF!,"AAAAAGn2n1U=")</f>
        <v>#REF!</v>
      </c>
      <c r="CI42" t="e">
        <f>AND(#REF!,"AAAAAGn2n1Y=")</f>
        <v>#REF!</v>
      </c>
      <c r="CJ42" t="e">
        <f>AND(#REF!,"AAAAAGn2n1c=")</f>
        <v>#REF!</v>
      </c>
      <c r="CK42" t="e">
        <f>AND(#REF!,"AAAAAGn2n1g=")</f>
        <v>#REF!</v>
      </c>
      <c r="CL42" t="e">
        <f>AND(#REF!,"AAAAAGn2n1k=")</f>
        <v>#REF!</v>
      </c>
      <c r="CM42" t="e">
        <f>AND(#REF!,"AAAAAGn2n1o=")</f>
        <v>#REF!</v>
      </c>
      <c r="CN42" t="e">
        <f>AND(#REF!,"AAAAAGn2n1s=")</f>
        <v>#REF!</v>
      </c>
      <c r="CO42" t="e">
        <f>AND(#REF!,"AAAAAGn2n1w=")</f>
        <v>#REF!</v>
      </c>
      <c r="CP42" t="e">
        <f>IF(#REF!,"AAAAAGn2n10=",0)</f>
        <v>#REF!</v>
      </c>
      <c r="CQ42" t="e">
        <f>AND(#REF!,"AAAAAGn2n14=")</f>
        <v>#REF!</v>
      </c>
      <c r="CR42" t="e">
        <f>AND(#REF!,"AAAAAGn2n18=")</f>
        <v>#REF!</v>
      </c>
      <c r="CS42" t="e">
        <f>AND(#REF!,"AAAAAGn2n2A=")</f>
        <v>#REF!</v>
      </c>
      <c r="CT42" t="e">
        <f>AND(#REF!,"AAAAAGn2n2E=")</f>
        <v>#REF!</v>
      </c>
      <c r="CU42" t="e">
        <f>AND(#REF!,"AAAAAGn2n2I=")</f>
        <v>#REF!</v>
      </c>
      <c r="CV42" t="e">
        <f>AND(#REF!,"AAAAAGn2n2M=")</f>
        <v>#REF!</v>
      </c>
      <c r="CW42" t="e">
        <f>AND(#REF!,"AAAAAGn2n2Q=")</f>
        <v>#REF!</v>
      </c>
      <c r="CX42" t="e">
        <f>AND(#REF!,"AAAAAGn2n2U=")</f>
        <v>#REF!</v>
      </c>
      <c r="CY42" t="e">
        <f>AND(#REF!,"AAAAAGn2n2Y=")</f>
        <v>#REF!</v>
      </c>
      <c r="CZ42" t="e">
        <f>AND(#REF!,"AAAAAGn2n2c=")</f>
        <v>#REF!</v>
      </c>
      <c r="DA42" t="e">
        <f>AND(#REF!,"AAAAAGn2n2g=")</f>
        <v>#REF!</v>
      </c>
      <c r="DB42" t="e">
        <f>AND(#REF!,"AAAAAGn2n2k=")</f>
        <v>#REF!</v>
      </c>
      <c r="DC42" t="e">
        <f>AND(#REF!,"AAAAAGn2n2o=")</f>
        <v>#REF!</v>
      </c>
      <c r="DD42" t="e">
        <f>AND(#REF!,"AAAAAGn2n2s=")</f>
        <v>#REF!</v>
      </c>
      <c r="DE42" t="e">
        <f>AND(#REF!,"AAAAAGn2n2w=")</f>
        <v>#REF!</v>
      </c>
      <c r="DF42" t="e">
        <f>AND(#REF!,"AAAAAGn2n20=")</f>
        <v>#REF!</v>
      </c>
      <c r="DG42" t="e">
        <f>AND(#REF!,"AAAAAGn2n24=")</f>
        <v>#REF!</v>
      </c>
      <c r="DH42" t="e">
        <f>AND(#REF!,"AAAAAGn2n28=")</f>
        <v>#REF!</v>
      </c>
      <c r="DI42" t="e">
        <f>AND(#REF!,"AAAAAGn2n3A=")</f>
        <v>#REF!</v>
      </c>
      <c r="DJ42" t="e">
        <f>AND(#REF!,"AAAAAGn2n3E=")</f>
        <v>#REF!</v>
      </c>
      <c r="DK42" t="e">
        <f>AND(#REF!,"AAAAAGn2n3I=")</f>
        <v>#REF!</v>
      </c>
      <c r="DL42" t="e">
        <f>AND(#REF!,"AAAAAGn2n3M=")</f>
        <v>#REF!</v>
      </c>
      <c r="DM42" t="e">
        <f>AND(#REF!,"AAAAAGn2n3Q=")</f>
        <v>#REF!</v>
      </c>
      <c r="DN42" t="e">
        <f>IF(#REF!,"AAAAAGn2n3U=",0)</f>
        <v>#REF!</v>
      </c>
      <c r="DO42" t="e">
        <f>AND(#REF!,"AAAAAGn2n3Y=")</f>
        <v>#REF!</v>
      </c>
      <c r="DP42" t="e">
        <f>AND(#REF!,"AAAAAGn2n3c=")</f>
        <v>#REF!</v>
      </c>
      <c r="DQ42" t="e">
        <f>AND(#REF!,"AAAAAGn2n3g=")</f>
        <v>#REF!</v>
      </c>
      <c r="DR42" t="e">
        <f>AND(#REF!,"AAAAAGn2n3k=")</f>
        <v>#REF!</v>
      </c>
      <c r="DS42" t="e">
        <f>AND(#REF!,"AAAAAGn2n3o=")</f>
        <v>#REF!</v>
      </c>
      <c r="DT42" t="e">
        <f>AND(#REF!,"AAAAAGn2n3s=")</f>
        <v>#REF!</v>
      </c>
      <c r="DU42" t="e">
        <f>AND(#REF!,"AAAAAGn2n3w=")</f>
        <v>#REF!</v>
      </c>
      <c r="DV42" t="e">
        <f>AND(#REF!,"AAAAAGn2n30=")</f>
        <v>#REF!</v>
      </c>
      <c r="DW42" t="e">
        <f>AND(#REF!,"AAAAAGn2n34=")</f>
        <v>#REF!</v>
      </c>
      <c r="DX42" t="e">
        <f>AND(#REF!,"AAAAAGn2n38=")</f>
        <v>#REF!</v>
      </c>
      <c r="DY42" t="e">
        <f>AND(#REF!,"AAAAAGn2n4A=")</f>
        <v>#REF!</v>
      </c>
      <c r="DZ42" t="e">
        <f>AND(#REF!,"AAAAAGn2n4E=")</f>
        <v>#REF!</v>
      </c>
      <c r="EA42" t="e">
        <f>AND(#REF!,"AAAAAGn2n4I=")</f>
        <v>#REF!</v>
      </c>
      <c r="EB42" t="e">
        <f>AND(#REF!,"AAAAAGn2n4M=")</f>
        <v>#REF!</v>
      </c>
      <c r="EC42" t="e">
        <f>AND(#REF!,"AAAAAGn2n4Q=")</f>
        <v>#REF!</v>
      </c>
      <c r="ED42" t="e">
        <f>AND(#REF!,"AAAAAGn2n4U=")</f>
        <v>#REF!</v>
      </c>
      <c r="EE42" t="e">
        <f>AND(#REF!,"AAAAAGn2n4Y=")</f>
        <v>#REF!</v>
      </c>
      <c r="EF42" t="e">
        <f>AND(#REF!,"AAAAAGn2n4c=")</f>
        <v>#REF!</v>
      </c>
      <c r="EG42" t="e">
        <f>AND(#REF!,"AAAAAGn2n4g=")</f>
        <v>#REF!</v>
      </c>
      <c r="EH42" t="e">
        <f>AND(#REF!,"AAAAAGn2n4k=")</f>
        <v>#REF!</v>
      </c>
      <c r="EI42" t="e">
        <f>AND(#REF!,"AAAAAGn2n4o=")</f>
        <v>#REF!</v>
      </c>
      <c r="EJ42" t="e">
        <f>AND(#REF!,"AAAAAGn2n4s=")</f>
        <v>#REF!</v>
      </c>
      <c r="EK42" t="e">
        <f>AND(#REF!,"AAAAAGn2n4w=")</f>
        <v>#REF!</v>
      </c>
      <c r="EL42" t="e">
        <f>IF(#REF!,"AAAAAGn2n40=",0)</f>
        <v>#REF!</v>
      </c>
      <c r="EM42" t="e">
        <f>AND(#REF!,"AAAAAGn2n44=")</f>
        <v>#REF!</v>
      </c>
      <c r="EN42" t="e">
        <f>AND(#REF!,"AAAAAGn2n48=")</f>
        <v>#REF!</v>
      </c>
      <c r="EO42" t="e">
        <f>AND(#REF!,"AAAAAGn2n5A=")</f>
        <v>#REF!</v>
      </c>
      <c r="EP42" t="e">
        <f>AND(#REF!,"AAAAAGn2n5E=")</f>
        <v>#REF!</v>
      </c>
      <c r="EQ42" t="e">
        <f>AND(#REF!,"AAAAAGn2n5I=")</f>
        <v>#REF!</v>
      </c>
      <c r="ER42" t="e">
        <f>AND(#REF!,"AAAAAGn2n5M=")</f>
        <v>#REF!</v>
      </c>
      <c r="ES42" t="e">
        <f>AND(#REF!,"AAAAAGn2n5Q=")</f>
        <v>#REF!</v>
      </c>
      <c r="ET42" t="e">
        <f>AND(#REF!,"AAAAAGn2n5U=")</f>
        <v>#REF!</v>
      </c>
      <c r="EU42" t="e">
        <f>AND(#REF!,"AAAAAGn2n5Y=")</f>
        <v>#REF!</v>
      </c>
      <c r="EV42" t="e">
        <f>AND(#REF!,"AAAAAGn2n5c=")</f>
        <v>#REF!</v>
      </c>
      <c r="EW42" t="e">
        <f>AND(#REF!,"AAAAAGn2n5g=")</f>
        <v>#REF!</v>
      </c>
      <c r="EX42" t="e">
        <f>AND(#REF!,"AAAAAGn2n5k=")</f>
        <v>#REF!</v>
      </c>
      <c r="EY42" t="e">
        <f>AND(#REF!,"AAAAAGn2n5o=")</f>
        <v>#REF!</v>
      </c>
      <c r="EZ42" t="e">
        <f>AND(#REF!,"AAAAAGn2n5s=")</f>
        <v>#REF!</v>
      </c>
      <c r="FA42" t="e">
        <f>AND(#REF!,"AAAAAGn2n5w=")</f>
        <v>#REF!</v>
      </c>
      <c r="FB42" t="e">
        <f>AND(#REF!,"AAAAAGn2n50=")</f>
        <v>#REF!</v>
      </c>
      <c r="FC42" t="e">
        <f>AND(#REF!,"AAAAAGn2n54=")</f>
        <v>#REF!</v>
      </c>
      <c r="FD42" t="e">
        <f>AND(#REF!,"AAAAAGn2n58=")</f>
        <v>#REF!</v>
      </c>
      <c r="FE42" t="e">
        <f>AND(#REF!,"AAAAAGn2n6A=")</f>
        <v>#REF!</v>
      </c>
      <c r="FF42" t="e">
        <f>AND(#REF!,"AAAAAGn2n6E=")</f>
        <v>#REF!</v>
      </c>
      <c r="FG42" t="e">
        <f>AND(#REF!,"AAAAAGn2n6I=")</f>
        <v>#REF!</v>
      </c>
      <c r="FH42" t="e">
        <f>AND(#REF!,"AAAAAGn2n6M=")</f>
        <v>#REF!</v>
      </c>
      <c r="FI42" t="e">
        <f>AND(#REF!,"AAAAAGn2n6Q=")</f>
        <v>#REF!</v>
      </c>
      <c r="FJ42" t="e">
        <f>IF(#REF!,"AAAAAGn2n6U=",0)</f>
        <v>#REF!</v>
      </c>
      <c r="FK42" t="e">
        <f>AND(#REF!,"AAAAAGn2n6Y=")</f>
        <v>#REF!</v>
      </c>
      <c r="FL42" t="e">
        <f>AND(#REF!,"AAAAAGn2n6c=")</f>
        <v>#REF!</v>
      </c>
      <c r="FM42" t="e">
        <f>AND(#REF!,"AAAAAGn2n6g=")</f>
        <v>#REF!</v>
      </c>
      <c r="FN42" t="e">
        <f>AND(#REF!,"AAAAAGn2n6k=")</f>
        <v>#REF!</v>
      </c>
      <c r="FO42" t="e">
        <f>AND(#REF!,"AAAAAGn2n6o=")</f>
        <v>#REF!</v>
      </c>
      <c r="FP42" t="e">
        <f>AND(#REF!,"AAAAAGn2n6s=")</f>
        <v>#REF!</v>
      </c>
      <c r="FQ42" t="e">
        <f>AND(#REF!,"AAAAAGn2n6w=")</f>
        <v>#REF!</v>
      </c>
      <c r="FR42" t="e">
        <f>AND(#REF!,"AAAAAGn2n60=")</f>
        <v>#REF!</v>
      </c>
      <c r="FS42" t="e">
        <f>AND(#REF!,"AAAAAGn2n64=")</f>
        <v>#REF!</v>
      </c>
      <c r="FT42" t="e">
        <f>AND(#REF!,"AAAAAGn2n68=")</f>
        <v>#REF!</v>
      </c>
      <c r="FU42" t="e">
        <f>AND(#REF!,"AAAAAGn2n7A=")</f>
        <v>#REF!</v>
      </c>
      <c r="FV42" t="e">
        <f>AND(#REF!,"AAAAAGn2n7E=")</f>
        <v>#REF!</v>
      </c>
      <c r="FW42" t="e">
        <f>AND(#REF!,"AAAAAGn2n7I=")</f>
        <v>#REF!</v>
      </c>
      <c r="FX42" t="e">
        <f>AND(#REF!,"AAAAAGn2n7M=")</f>
        <v>#REF!</v>
      </c>
      <c r="FY42" t="e">
        <f>AND(#REF!,"AAAAAGn2n7Q=")</f>
        <v>#REF!</v>
      </c>
      <c r="FZ42" t="e">
        <f>AND(#REF!,"AAAAAGn2n7U=")</f>
        <v>#REF!</v>
      </c>
      <c r="GA42" t="e">
        <f>AND(#REF!,"AAAAAGn2n7Y=")</f>
        <v>#REF!</v>
      </c>
      <c r="GB42" t="e">
        <f>AND(#REF!,"AAAAAGn2n7c=")</f>
        <v>#REF!</v>
      </c>
      <c r="GC42" t="e">
        <f>AND(#REF!,"AAAAAGn2n7g=")</f>
        <v>#REF!</v>
      </c>
      <c r="GD42" t="e">
        <f>AND(#REF!,"AAAAAGn2n7k=")</f>
        <v>#REF!</v>
      </c>
      <c r="GE42" t="e">
        <f>AND(#REF!,"AAAAAGn2n7o=")</f>
        <v>#REF!</v>
      </c>
      <c r="GF42" t="e">
        <f>AND(#REF!,"AAAAAGn2n7s=")</f>
        <v>#REF!</v>
      </c>
      <c r="GG42" t="e">
        <f>AND(#REF!,"AAAAAGn2n7w=")</f>
        <v>#REF!</v>
      </c>
      <c r="GH42" t="e">
        <f>IF(#REF!,"AAAAAGn2n70=",0)</f>
        <v>#REF!</v>
      </c>
      <c r="GI42" t="e">
        <f>AND(#REF!,"AAAAAGn2n74=")</f>
        <v>#REF!</v>
      </c>
      <c r="GJ42" t="e">
        <f>AND(#REF!,"AAAAAGn2n78=")</f>
        <v>#REF!</v>
      </c>
      <c r="GK42" t="e">
        <f>AND(#REF!,"AAAAAGn2n8A=")</f>
        <v>#REF!</v>
      </c>
      <c r="GL42" t="e">
        <f>AND(#REF!,"AAAAAGn2n8E=")</f>
        <v>#REF!</v>
      </c>
      <c r="GM42" t="e">
        <f>AND(#REF!,"AAAAAGn2n8I=")</f>
        <v>#REF!</v>
      </c>
      <c r="GN42" t="e">
        <f>AND(#REF!,"AAAAAGn2n8M=")</f>
        <v>#REF!</v>
      </c>
      <c r="GO42" t="e">
        <f>AND(#REF!,"AAAAAGn2n8Q=")</f>
        <v>#REF!</v>
      </c>
      <c r="GP42" t="e">
        <f>AND(#REF!,"AAAAAGn2n8U=")</f>
        <v>#REF!</v>
      </c>
      <c r="GQ42" t="e">
        <f>AND(#REF!,"AAAAAGn2n8Y=")</f>
        <v>#REF!</v>
      </c>
      <c r="GR42" t="e">
        <f>AND(#REF!,"AAAAAGn2n8c=")</f>
        <v>#REF!</v>
      </c>
      <c r="GS42" t="e">
        <f>AND(#REF!,"AAAAAGn2n8g=")</f>
        <v>#REF!</v>
      </c>
      <c r="GT42" t="e">
        <f>AND(#REF!,"AAAAAGn2n8k=")</f>
        <v>#REF!</v>
      </c>
      <c r="GU42" t="e">
        <f>AND(#REF!,"AAAAAGn2n8o=")</f>
        <v>#REF!</v>
      </c>
      <c r="GV42" t="e">
        <f>AND(#REF!,"AAAAAGn2n8s=")</f>
        <v>#REF!</v>
      </c>
      <c r="GW42" t="e">
        <f>AND(#REF!,"AAAAAGn2n8w=")</f>
        <v>#REF!</v>
      </c>
      <c r="GX42" t="e">
        <f>AND(#REF!,"AAAAAGn2n80=")</f>
        <v>#REF!</v>
      </c>
      <c r="GY42" t="e">
        <f>AND(#REF!,"AAAAAGn2n84=")</f>
        <v>#REF!</v>
      </c>
      <c r="GZ42" t="e">
        <f>AND(#REF!,"AAAAAGn2n88=")</f>
        <v>#REF!</v>
      </c>
      <c r="HA42" t="e">
        <f>AND(#REF!,"AAAAAGn2n9A=")</f>
        <v>#REF!</v>
      </c>
      <c r="HB42" t="e">
        <f>AND(#REF!,"AAAAAGn2n9E=")</f>
        <v>#REF!</v>
      </c>
      <c r="HC42" t="e">
        <f>AND(#REF!,"AAAAAGn2n9I=")</f>
        <v>#REF!</v>
      </c>
      <c r="HD42" t="e">
        <f>AND(#REF!,"AAAAAGn2n9M=")</f>
        <v>#REF!</v>
      </c>
      <c r="HE42" t="e">
        <f>AND(#REF!,"AAAAAGn2n9Q=")</f>
        <v>#REF!</v>
      </c>
      <c r="HF42" t="e">
        <f>IF(#REF!,"AAAAAGn2n9U=",0)</f>
        <v>#REF!</v>
      </c>
      <c r="HG42" t="e">
        <f>AND(#REF!,"AAAAAGn2n9Y=")</f>
        <v>#REF!</v>
      </c>
      <c r="HH42" t="e">
        <f>AND(#REF!,"AAAAAGn2n9c=")</f>
        <v>#REF!</v>
      </c>
      <c r="HI42" t="e">
        <f>AND(#REF!,"AAAAAGn2n9g=")</f>
        <v>#REF!</v>
      </c>
      <c r="HJ42" t="e">
        <f>AND(#REF!,"AAAAAGn2n9k=")</f>
        <v>#REF!</v>
      </c>
      <c r="HK42" t="e">
        <f>AND(#REF!,"AAAAAGn2n9o=")</f>
        <v>#REF!</v>
      </c>
      <c r="HL42" t="e">
        <f>AND(#REF!,"AAAAAGn2n9s=")</f>
        <v>#REF!</v>
      </c>
      <c r="HM42" t="e">
        <f>AND(#REF!,"AAAAAGn2n9w=")</f>
        <v>#REF!</v>
      </c>
      <c r="HN42" t="e">
        <f>AND(#REF!,"AAAAAGn2n90=")</f>
        <v>#REF!</v>
      </c>
      <c r="HO42" t="e">
        <f>AND(#REF!,"AAAAAGn2n94=")</f>
        <v>#REF!</v>
      </c>
      <c r="HP42" t="e">
        <f>AND(#REF!,"AAAAAGn2n98=")</f>
        <v>#REF!</v>
      </c>
      <c r="HQ42" t="e">
        <f>AND(#REF!,"AAAAAGn2n+A=")</f>
        <v>#REF!</v>
      </c>
      <c r="HR42" t="e">
        <f>AND(#REF!,"AAAAAGn2n+E=")</f>
        <v>#REF!</v>
      </c>
      <c r="HS42" t="e">
        <f>AND(#REF!,"AAAAAGn2n+I=")</f>
        <v>#REF!</v>
      </c>
      <c r="HT42" t="e">
        <f>AND(#REF!,"AAAAAGn2n+M=")</f>
        <v>#REF!</v>
      </c>
      <c r="HU42" t="e">
        <f>AND(#REF!,"AAAAAGn2n+Q=")</f>
        <v>#REF!</v>
      </c>
      <c r="HV42" t="e">
        <f>AND(#REF!,"AAAAAGn2n+U=")</f>
        <v>#REF!</v>
      </c>
      <c r="HW42" t="e">
        <f>AND(#REF!,"AAAAAGn2n+Y=")</f>
        <v>#REF!</v>
      </c>
      <c r="HX42" t="e">
        <f>AND(#REF!,"AAAAAGn2n+c=")</f>
        <v>#REF!</v>
      </c>
      <c r="HY42" t="e">
        <f>AND(#REF!,"AAAAAGn2n+g=")</f>
        <v>#REF!</v>
      </c>
      <c r="HZ42" t="e">
        <f>AND(#REF!,"AAAAAGn2n+k=")</f>
        <v>#REF!</v>
      </c>
      <c r="IA42" t="e">
        <f>AND(#REF!,"AAAAAGn2n+o=")</f>
        <v>#REF!</v>
      </c>
      <c r="IB42" t="e">
        <f>AND(#REF!,"AAAAAGn2n+s=")</f>
        <v>#REF!</v>
      </c>
      <c r="IC42" t="e">
        <f>AND(#REF!,"AAAAAGn2n+w=")</f>
        <v>#REF!</v>
      </c>
      <c r="ID42" t="e">
        <f>IF(#REF!,"AAAAAGn2n+0=",0)</f>
        <v>#REF!</v>
      </c>
      <c r="IE42" t="e">
        <f>AND(#REF!,"AAAAAGn2n+4=")</f>
        <v>#REF!</v>
      </c>
      <c r="IF42" t="e">
        <f>AND(#REF!,"AAAAAGn2n+8=")</f>
        <v>#REF!</v>
      </c>
      <c r="IG42" t="e">
        <f>AND(#REF!,"AAAAAGn2n/A=")</f>
        <v>#REF!</v>
      </c>
      <c r="IH42" t="e">
        <f>AND(#REF!,"AAAAAGn2n/E=")</f>
        <v>#REF!</v>
      </c>
      <c r="II42" t="e">
        <f>AND(#REF!,"AAAAAGn2n/I=")</f>
        <v>#REF!</v>
      </c>
      <c r="IJ42" t="e">
        <f>AND(#REF!,"AAAAAGn2n/M=")</f>
        <v>#REF!</v>
      </c>
      <c r="IK42" t="e">
        <f>AND(#REF!,"AAAAAGn2n/Q=")</f>
        <v>#REF!</v>
      </c>
      <c r="IL42" t="e">
        <f>AND(#REF!,"AAAAAGn2n/U=")</f>
        <v>#REF!</v>
      </c>
      <c r="IM42" t="e">
        <f>AND(#REF!,"AAAAAGn2n/Y=")</f>
        <v>#REF!</v>
      </c>
      <c r="IN42" t="e">
        <f>AND(#REF!,"AAAAAGn2n/c=")</f>
        <v>#REF!</v>
      </c>
      <c r="IO42" t="e">
        <f>AND(#REF!,"AAAAAGn2n/g=")</f>
        <v>#REF!</v>
      </c>
      <c r="IP42" t="e">
        <f>AND(#REF!,"AAAAAGn2n/k=")</f>
        <v>#REF!</v>
      </c>
      <c r="IQ42" t="e">
        <f>AND(#REF!,"AAAAAGn2n/o=")</f>
        <v>#REF!</v>
      </c>
      <c r="IR42" t="e">
        <f>AND(#REF!,"AAAAAGn2n/s=")</f>
        <v>#REF!</v>
      </c>
      <c r="IS42" t="e">
        <f>AND(#REF!,"AAAAAGn2n/w=")</f>
        <v>#REF!</v>
      </c>
      <c r="IT42" t="e">
        <f>AND(#REF!,"AAAAAGn2n/0=")</f>
        <v>#REF!</v>
      </c>
      <c r="IU42" t="e">
        <f>AND(#REF!,"AAAAAGn2n/4=")</f>
        <v>#REF!</v>
      </c>
      <c r="IV42" t="e">
        <f>AND(#REF!,"AAAAAGn2n/8=")</f>
        <v>#REF!</v>
      </c>
    </row>
    <row r="43" spans="1:256" x14ac:dyDescent="0.15">
      <c r="A43" t="e">
        <f>AND(#REF!,"AAAAAF7/IwA=")</f>
        <v>#REF!</v>
      </c>
      <c r="B43" t="e">
        <f>AND(#REF!,"AAAAAF7/IwE=")</f>
        <v>#REF!</v>
      </c>
      <c r="C43" t="e">
        <f>AND(#REF!,"AAAAAF7/IwI=")</f>
        <v>#REF!</v>
      </c>
      <c r="D43" t="e">
        <f>AND(#REF!,"AAAAAF7/IwM=")</f>
        <v>#REF!</v>
      </c>
      <c r="E43" t="e">
        <f>AND(#REF!,"AAAAAF7/IwQ=")</f>
        <v>#REF!</v>
      </c>
      <c r="F43" t="e">
        <f>IF(#REF!,"AAAAAF7/IwU=",0)</f>
        <v>#REF!</v>
      </c>
      <c r="G43" t="e">
        <f>AND(#REF!,"AAAAAF7/IwY=")</f>
        <v>#REF!</v>
      </c>
      <c r="H43" t="e">
        <f>AND(#REF!,"AAAAAF7/Iwc=")</f>
        <v>#REF!</v>
      </c>
      <c r="I43" t="e">
        <f>AND(#REF!,"AAAAAF7/Iwg=")</f>
        <v>#REF!</v>
      </c>
      <c r="J43" t="e">
        <f>AND(#REF!,"AAAAAF7/Iwk=")</f>
        <v>#REF!</v>
      </c>
      <c r="K43" t="e">
        <f>AND(#REF!,"AAAAAF7/Iwo=")</f>
        <v>#REF!</v>
      </c>
      <c r="L43" t="e">
        <f>AND(#REF!,"AAAAAF7/Iws=")</f>
        <v>#REF!</v>
      </c>
      <c r="M43" t="e">
        <f>AND(#REF!,"AAAAAF7/Iww=")</f>
        <v>#REF!</v>
      </c>
      <c r="N43" t="e">
        <f>AND(#REF!,"AAAAAF7/Iw0=")</f>
        <v>#REF!</v>
      </c>
      <c r="O43" t="e">
        <f>AND(#REF!,"AAAAAF7/Iw4=")</f>
        <v>#REF!</v>
      </c>
      <c r="P43" t="e">
        <f>AND(#REF!,"AAAAAF7/Iw8=")</f>
        <v>#REF!</v>
      </c>
      <c r="Q43" t="e">
        <f>AND(#REF!,"AAAAAF7/IxA=")</f>
        <v>#REF!</v>
      </c>
      <c r="R43" t="e">
        <f>AND(#REF!,"AAAAAF7/IxE=")</f>
        <v>#REF!</v>
      </c>
      <c r="S43" t="e">
        <f>AND(#REF!,"AAAAAF7/IxI=")</f>
        <v>#REF!</v>
      </c>
      <c r="T43" t="e">
        <f>AND(#REF!,"AAAAAF7/IxM=")</f>
        <v>#REF!</v>
      </c>
      <c r="U43" t="e">
        <f>AND(#REF!,"AAAAAF7/IxQ=")</f>
        <v>#REF!</v>
      </c>
      <c r="V43" t="e">
        <f>AND(#REF!,"AAAAAF7/IxU=")</f>
        <v>#REF!</v>
      </c>
      <c r="W43" t="e">
        <f>AND(#REF!,"AAAAAF7/IxY=")</f>
        <v>#REF!</v>
      </c>
      <c r="X43" t="e">
        <f>AND(#REF!,"AAAAAF7/Ixc=")</f>
        <v>#REF!</v>
      </c>
      <c r="Y43" t="e">
        <f>AND(#REF!,"AAAAAF7/Ixg=")</f>
        <v>#REF!</v>
      </c>
      <c r="Z43" t="e">
        <f>AND(#REF!,"AAAAAF7/Ixk=")</f>
        <v>#REF!</v>
      </c>
      <c r="AA43" t="e">
        <f>AND(#REF!,"AAAAAF7/Ixo=")</f>
        <v>#REF!</v>
      </c>
      <c r="AB43" t="e">
        <f>AND(#REF!,"AAAAAF7/Ixs=")</f>
        <v>#REF!</v>
      </c>
      <c r="AC43" t="e">
        <f>AND(#REF!,"AAAAAF7/Ixw=")</f>
        <v>#REF!</v>
      </c>
      <c r="AD43" t="e">
        <f>IF(#REF!,"AAAAAF7/Ix0=",0)</f>
        <v>#REF!</v>
      </c>
      <c r="AE43" t="e">
        <f>AND(#REF!,"AAAAAF7/Ix4=")</f>
        <v>#REF!</v>
      </c>
      <c r="AF43" t="e">
        <f>AND(#REF!,"AAAAAF7/Ix8=")</f>
        <v>#REF!</v>
      </c>
      <c r="AG43" t="e">
        <f>AND(#REF!,"AAAAAF7/IyA=")</f>
        <v>#REF!</v>
      </c>
      <c r="AH43" t="e">
        <f>AND(#REF!,"AAAAAF7/IyE=")</f>
        <v>#REF!</v>
      </c>
      <c r="AI43" t="e">
        <f>AND(#REF!,"AAAAAF7/IyI=")</f>
        <v>#REF!</v>
      </c>
      <c r="AJ43" t="e">
        <f>AND(#REF!,"AAAAAF7/IyM=")</f>
        <v>#REF!</v>
      </c>
      <c r="AK43" t="e">
        <f>AND(#REF!,"AAAAAF7/IyQ=")</f>
        <v>#REF!</v>
      </c>
      <c r="AL43" t="e">
        <f>AND(#REF!,"AAAAAF7/IyU=")</f>
        <v>#REF!</v>
      </c>
      <c r="AM43" t="e">
        <f>AND(#REF!,"AAAAAF7/IyY=")</f>
        <v>#REF!</v>
      </c>
      <c r="AN43" t="e">
        <f>AND(#REF!,"AAAAAF7/Iyc=")</f>
        <v>#REF!</v>
      </c>
      <c r="AO43" t="e">
        <f>AND(#REF!,"AAAAAF7/Iyg=")</f>
        <v>#REF!</v>
      </c>
      <c r="AP43" t="e">
        <f>AND(#REF!,"AAAAAF7/Iyk=")</f>
        <v>#REF!</v>
      </c>
      <c r="AQ43" t="e">
        <f>AND(#REF!,"AAAAAF7/Iyo=")</f>
        <v>#REF!</v>
      </c>
      <c r="AR43" t="e">
        <f>AND(#REF!,"AAAAAF7/Iys=")</f>
        <v>#REF!</v>
      </c>
      <c r="AS43" t="e">
        <f>AND(#REF!,"AAAAAF7/Iyw=")</f>
        <v>#REF!</v>
      </c>
      <c r="AT43" t="e">
        <f>AND(#REF!,"AAAAAF7/Iy0=")</f>
        <v>#REF!</v>
      </c>
      <c r="AU43" t="e">
        <f>AND(#REF!,"AAAAAF7/Iy4=")</f>
        <v>#REF!</v>
      </c>
      <c r="AV43" t="e">
        <f>AND(#REF!,"AAAAAF7/Iy8=")</f>
        <v>#REF!</v>
      </c>
      <c r="AW43" t="e">
        <f>AND(#REF!,"AAAAAF7/IzA=")</f>
        <v>#REF!</v>
      </c>
      <c r="AX43" t="e">
        <f>AND(#REF!,"AAAAAF7/IzE=")</f>
        <v>#REF!</v>
      </c>
      <c r="AY43" t="e">
        <f>AND(#REF!,"AAAAAF7/IzI=")</f>
        <v>#REF!</v>
      </c>
      <c r="AZ43" t="e">
        <f>AND(#REF!,"AAAAAF7/IzM=")</f>
        <v>#REF!</v>
      </c>
      <c r="BA43" t="e">
        <f>AND(#REF!,"AAAAAF7/IzQ=")</f>
        <v>#REF!</v>
      </c>
      <c r="BB43" t="e">
        <f>IF(#REF!,"AAAAAF7/IzU=",0)</f>
        <v>#REF!</v>
      </c>
      <c r="BC43" t="e">
        <f>AND(#REF!,"AAAAAF7/IzY=")</f>
        <v>#REF!</v>
      </c>
      <c r="BD43" t="e">
        <f>AND(#REF!,"AAAAAF7/Izc=")</f>
        <v>#REF!</v>
      </c>
      <c r="BE43" t="e">
        <f>AND(#REF!,"AAAAAF7/Izg=")</f>
        <v>#REF!</v>
      </c>
      <c r="BF43" t="e">
        <f>AND(#REF!,"AAAAAF7/Izk=")</f>
        <v>#REF!</v>
      </c>
      <c r="BG43" t="e">
        <f>AND(#REF!,"AAAAAF7/Izo=")</f>
        <v>#REF!</v>
      </c>
      <c r="BH43" t="e">
        <f>AND(#REF!,"AAAAAF7/Izs=")</f>
        <v>#REF!</v>
      </c>
      <c r="BI43" t="e">
        <f>AND(#REF!,"AAAAAF7/Izw=")</f>
        <v>#REF!</v>
      </c>
      <c r="BJ43" t="e">
        <f>AND(#REF!,"AAAAAF7/Iz0=")</f>
        <v>#REF!</v>
      </c>
      <c r="BK43" t="e">
        <f>AND(#REF!,"AAAAAF7/Iz4=")</f>
        <v>#REF!</v>
      </c>
      <c r="BL43" t="e">
        <f>AND(#REF!,"AAAAAF7/Iz8=")</f>
        <v>#REF!</v>
      </c>
      <c r="BM43" t="e">
        <f>AND(#REF!,"AAAAAF7/I0A=")</f>
        <v>#REF!</v>
      </c>
      <c r="BN43" t="e">
        <f>AND(#REF!,"AAAAAF7/I0E=")</f>
        <v>#REF!</v>
      </c>
      <c r="BO43" t="e">
        <f>AND(#REF!,"AAAAAF7/I0I=")</f>
        <v>#REF!</v>
      </c>
      <c r="BP43" t="e">
        <f>AND(#REF!,"AAAAAF7/I0M=")</f>
        <v>#REF!</v>
      </c>
      <c r="BQ43" t="e">
        <f>AND(#REF!,"AAAAAF7/I0Q=")</f>
        <v>#REF!</v>
      </c>
      <c r="BR43" t="e">
        <f>AND(#REF!,"AAAAAF7/I0U=")</f>
        <v>#REF!</v>
      </c>
      <c r="BS43" t="e">
        <f>AND(#REF!,"AAAAAF7/I0Y=")</f>
        <v>#REF!</v>
      </c>
      <c r="BT43" t="e">
        <f>AND(#REF!,"AAAAAF7/I0c=")</f>
        <v>#REF!</v>
      </c>
      <c r="BU43" t="e">
        <f>AND(#REF!,"AAAAAF7/I0g=")</f>
        <v>#REF!</v>
      </c>
      <c r="BV43" t="e">
        <f>AND(#REF!,"AAAAAF7/I0k=")</f>
        <v>#REF!</v>
      </c>
      <c r="BW43" t="e">
        <f>AND(#REF!,"AAAAAF7/I0o=")</f>
        <v>#REF!</v>
      </c>
      <c r="BX43" t="e">
        <f>AND(#REF!,"AAAAAF7/I0s=")</f>
        <v>#REF!</v>
      </c>
      <c r="BY43" t="e">
        <f>AND(#REF!,"AAAAAF7/I0w=")</f>
        <v>#REF!</v>
      </c>
      <c r="BZ43" t="e">
        <f>IF(#REF!,"AAAAAF7/I00=",0)</f>
        <v>#REF!</v>
      </c>
      <c r="CA43" t="e">
        <f>AND(#REF!,"AAAAAF7/I04=")</f>
        <v>#REF!</v>
      </c>
      <c r="CB43" t="e">
        <f>AND(#REF!,"AAAAAF7/I08=")</f>
        <v>#REF!</v>
      </c>
      <c r="CC43" t="e">
        <f>AND(#REF!,"AAAAAF7/I1A=")</f>
        <v>#REF!</v>
      </c>
      <c r="CD43" t="e">
        <f>AND(#REF!,"AAAAAF7/I1E=")</f>
        <v>#REF!</v>
      </c>
      <c r="CE43" t="e">
        <f>AND(#REF!,"AAAAAF7/I1I=")</f>
        <v>#REF!</v>
      </c>
      <c r="CF43" t="e">
        <f>AND(#REF!,"AAAAAF7/I1M=")</f>
        <v>#REF!</v>
      </c>
      <c r="CG43" t="e">
        <f>AND(#REF!,"AAAAAF7/I1Q=")</f>
        <v>#REF!</v>
      </c>
      <c r="CH43" t="e">
        <f>AND(#REF!,"AAAAAF7/I1U=")</f>
        <v>#REF!</v>
      </c>
      <c r="CI43" t="e">
        <f>AND(#REF!,"AAAAAF7/I1Y=")</f>
        <v>#REF!</v>
      </c>
      <c r="CJ43" t="e">
        <f>AND(#REF!,"AAAAAF7/I1c=")</f>
        <v>#REF!</v>
      </c>
      <c r="CK43" t="e">
        <f>AND(#REF!,"AAAAAF7/I1g=")</f>
        <v>#REF!</v>
      </c>
      <c r="CL43" t="e">
        <f>AND(#REF!,"AAAAAF7/I1k=")</f>
        <v>#REF!</v>
      </c>
      <c r="CM43" t="e">
        <f>AND(#REF!,"AAAAAF7/I1o=")</f>
        <v>#REF!</v>
      </c>
      <c r="CN43" t="e">
        <f>AND(#REF!,"AAAAAF7/I1s=")</f>
        <v>#REF!</v>
      </c>
      <c r="CO43" t="e">
        <f>AND(#REF!,"AAAAAF7/I1w=")</f>
        <v>#REF!</v>
      </c>
      <c r="CP43" t="e">
        <f>AND(#REF!,"AAAAAF7/I10=")</f>
        <v>#REF!</v>
      </c>
      <c r="CQ43" t="e">
        <f>AND(#REF!,"AAAAAF7/I14=")</f>
        <v>#REF!</v>
      </c>
      <c r="CR43" t="e">
        <f>AND(#REF!,"AAAAAF7/I18=")</f>
        <v>#REF!</v>
      </c>
      <c r="CS43" t="e">
        <f>AND(#REF!,"AAAAAF7/I2A=")</f>
        <v>#REF!</v>
      </c>
      <c r="CT43" t="e">
        <f>AND(#REF!,"AAAAAF7/I2E=")</f>
        <v>#REF!</v>
      </c>
      <c r="CU43" t="e">
        <f>AND(#REF!,"AAAAAF7/I2I=")</f>
        <v>#REF!</v>
      </c>
      <c r="CV43" t="e">
        <f>AND(#REF!,"AAAAAF7/I2M=")</f>
        <v>#REF!</v>
      </c>
      <c r="CW43" t="e">
        <f>AND(#REF!,"AAAAAF7/I2Q=")</f>
        <v>#REF!</v>
      </c>
      <c r="CX43" t="e">
        <f>IF(#REF!,"AAAAAF7/I2U=",0)</f>
        <v>#REF!</v>
      </c>
      <c r="CY43" t="e">
        <f>AND(#REF!,"AAAAAF7/I2Y=")</f>
        <v>#REF!</v>
      </c>
      <c r="CZ43" t="e">
        <f>AND(#REF!,"AAAAAF7/I2c=")</f>
        <v>#REF!</v>
      </c>
      <c r="DA43" t="e">
        <f>AND(#REF!,"AAAAAF7/I2g=")</f>
        <v>#REF!</v>
      </c>
      <c r="DB43" t="e">
        <f>AND(#REF!,"AAAAAF7/I2k=")</f>
        <v>#REF!</v>
      </c>
      <c r="DC43" t="e">
        <f>AND(#REF!,"AAAAAF7/I2o=")</f>
        <v>#REF!</v>
      </c>
      <c r="DD43" t="e">
        <f>AND(#REF!,"AAAAAF7/I2s=")</f>
        <v>#REF!</v>
      </c>
      <c r="DE43" t="e">
        <f>AND(#REF!,"AAAAAF7/I2w=")</f>
        <v>#REF!</v>
      </c>
      <c r="DF43" t="e">
        <f>AND(#REF!,"AAAAAF7/I20=")</f>
        <v>#REF!</v>
      </c>
      <c r="DG43" t="e">
        <f>AND(#REF!,"AAAAAF7/I24=")</f>
        <v>#REF!</v>
      </c>
      <c r="DH43" t="e">
        <f>AND(#REF!,"AAAAAF7/I28=")</f>
        <v>#REF!</v>
      </c>
      <c r="DI43" t="e">
        <f>AND(#REF!,"AAAAAF7/I3A=")</f>
        <v>#REF!</v>
      </c>
      <c r="DJ43" t="e">
        <f>AND(#REF!,"AAAAAF7/I3E=")</f>
        <v>#REF!</v>
      </c>
      <c r="DK43" t="e">
        <f>AND(#REF!,"AAAAAF7/I3I=")</f>
        <v>#REF!</v>
      </c>
      <c r="DL43" t="e">
        <f>AND(#REF!,"AAAAAF7/I3M=")</f>
        <v>#REF!</v>
      </c>
      <c r="DM43" t="e">
        <f>AND(#REF!,"AAAAAF7/I3Q=")</f>
        <v>#REF!</v>
      </c>
      <c r="DN43" t="e">
        <f>AND(#REF!,"AAAAAF7/I3U=")</f>
        <v>#REF!</v>
      </c>
      <c r="DO43" t="e">
        <f>AND(#REF!,"AAAAAF7/I3Y=")</f>
        <v>#REF!</v>
      </c>
      <c r="DP43" t="e">
        <f>AND(#REF!,"AAAAAF7/I3c=")</f>
        <v>#REF!</v>
      </c>
      <c r="DQ43" t="e">
        <f>AND(#REF!,"AAAAAF7/I3g=")</f>
        <v>#REF!</v>
      </c>
      <c r="DR43" t="e">
        <f>AND(#REF!,"AAAAAF7/I3k=")</f>
        <v>#REF!</v>
      </c>
      <c r="DS43" t="e">
        <f>AND(#REF!,"AAAAAF7/I3o=")</f>
        <v>#REF!</v>
      </c>
      <c r="DT43" t="e">
        <f>AND(#REF!,"AAAAAF7/I3s=")</f>
        <v>#REF!</v>
      </c>
      <c r="DU43" t="e">
        <f>AND(#REF!,"AAAAAF7/I3w=")</f>
        <v>#REF!</v>
      </c>
      <c r="DV43" t="e">
        <f>IF(#REF!,"AAAAAF7/I30=",0)</f>
        <v>#REF!</v>
      </c>
      <c r="DW43" t="e">
        <f>AND(#REF!,"AAAAAF7/I34=")</f>
        <v>#REF!</v>
      </c>
      <c r="DX43" t="e">
        <f>AND(#REF!,"AAAAAF7/I38=")</f>
        <v>#REF!</v>
      </c>
      <c r="DY43" t="e">
        <f>AND(#REF!,"AAAAAF7/I4A=")</f>
        <v>#REF!</v>
      </c>
      <c r="DZ43" t="e">
        <f>AND(#REF!,"AAAAAF7/I4E=")</f>
        <v>#REF!</v>
      </c>
      <c r="EA43" t="e">
        <f>AND(#REF!,"AAAAAF7/I4I=")</f>
        <v>#REF!</v>
      </c>
      <c r="EB43" t="e">
        <f>AND(#REF!,"AAAAAF7/I4M=")</f>
        <v>#REF!</v>
      </c>
      <c r="EC43" t="e">
        <f>AND(#REF!,"AAAAAF7/I4Q=")</f>
        <v>#REF!</v>
      </c>
      <c r="ED43" t="e">
        <f>AND(#REF!,"AAAAAF7/I4U=")</f>
        <v>#REF!</v>
      </c>
      <c r="EE43" t="e">
        <f>AND(#REF!,"AAAAAF7/I4Y=")</f>
        <v>#REF!</v>
      </c>
      <c r="EF43" t="e">
        <f>AND(#REF!,"AAAAAF7/I4c=")</f>
        <v>#REF!</v>
      </c>
      <c r="EG43" t="e">
        <f>AND(#REF!,"AAAAAF7/I4g=")</f>
        <v>#REF!</v>
      </c>
      <c r="EH43" t="e">
        <f>AND(#REF!,"AAAAAF7/I4k=")</f>
        <v>#REF!</v>
      </c>
      <c r="EI43" t="e">
        <f>AND(#REF!,"AAAAAF7/I4o=")</f>
        <v>#REF!</v>
      </c>
      <c r="EJ43" t="e">
        <f>AND(#REF!,"AAAAAF7/I4s=")</f>
        <v>#REF!</v>
      </c>
      <c r="EK43" t="e">
        <f>AND(#REF!,"AAAAAF7/I4w=")</f>
        <v>#REF!</v>
      </c>
      <c r="EL43" t="e">
        <f>AND(#REF!,"AAAAAF7/I40=")</f>
        <v>#REF!</v>
      </c>
      <c r="EM43" t="e">
        <f>AND(#REF!,"AAAAAF7/I44=")</f>
        <v>#REF!</v>
      </c>
      <c r="EN43" t="e">
        <f>AND(#REF!,"AAAAAF7/I48=")</f>
        <v>#REF!</v>
      </c>
      <c r="EO43" t="e">
        <f>AND(#REF!,"AAAAAF7/I5A=")</f>
        <v>#REF!</v>
      </c>
      <c r="EP43" t="e">
        <f>AND(#REF!,"AAAAAF7/I5E=")</f>
        <v>#REF!</v>
      </c>
      <c r="EQ43" t="e">
        <f>AND(#REF!,"AAAAAF7/I5I=")</f>
        <v>#REF!</v>
      </c>
      <c r="ER43" t="e">
        <f>AND(#REF!,"AAAAAF7/I5M=")</f>
        <v>#REF!</v>
      </c>
      <c r="ES43" t="e">
        <f>AND(#REF!,"AAAAAF7/I5Q=")</f>
        <v>#REF!</v>
      </c>
      <c r="ET43" t="e">
        <f>IF(#REF!,"AAAAAF7/I5U=",0)</f>
        <v>#REF!</v>
      </c>
      <c r="EU43" t="e">
        <f>AND(#REF!,"AAAAAF7/I5Y=")</f>
        <v>#REF!</v>
      </c>
      <c r="EV43" t="e">
        <f>AND(#REF!,"AAAAAF7/I5c=")</f>
        <v>#REF!</v>
      </c>
      <c r="EW43" t="e">
        <f>AND(#REF!,"AAAAAF7/I5g=")</f>
        <v>#REF!</v>
      </c>
      <c r="EX43" t="e">
        <f>AND(#REF!,"AAAAAF7/I5k=")</f>
        <v>#REF!</v>
      </c>
      <c r="EY43" t="e">
        <f>AND(#REF!,"AAAAAF7/I5o=")</f>
        <v>#REF!</v>
      </c>
      <c r="EZ43" t="e">
        <f>AND(#REF!,"AAAAAF7/I5s=")</f>
        <v>#REF!</v>
      </c>
      <c r="FA43" t="e">
        <f>AND(#REF!,"AAAAAF7/I5w=")</f>
        <v>#REF!</v>
      </c>
      <c r="FB43" t="e">
        <f>AND(#REF!,"AAAAAF7/I50=")</f>
        <v>#REF!</v>
      </c>
      <c r="FC43" t="e">
        <f>AND(#REF!,"AAAAAF7/I54=")</f>
        <v>#REF!</v>
      </c>
      <c r="FD43" t="e">
        <f>AND(#REF!,"AAAAAF7/I58=")</f>
        <v>#REF!</v>
      </c>
      <c r="FE43" t="e">
        <f>AND(#REF!,"AAAAAF7/I6A=")</f>
        <v>#REF!</v>
      </c>
      <c r="FF43" t="e">
        <f>AND(#REF!,"AAAAAF7/I6E=")</f>
        <v>#REF!</v>
      </c>
      <c r="FG43" t="e">
        <f>AND(#REF!,"AAAAAF7/I6I=")</f>
        <v>#REF!</v>
      </c>
      <c r="FH43" t="e">
        <f>AND(#REF!,"AAAAAF7/I6M=")</f>
        <v>#REF!</v>
      </c>
      <c r="FI43" t="e">
        <f>AND(#REF!,"AAAAAF7/I6Q=")</f>
        <v>#REF!</v>
      </c>
      <c r="FJ43" t="e">
        <f>AND(#REF!,"AAAAAF7/I6U=")</f>
        <v>#REF!</v>
      </c>
      <c r="FK43" t="e">
        <f>AND(#REF!,"AAAAAF7/I6Y=")</f>
        <v>#REF!</v>
      </c>
      <c r="FL43" t="e">
        <f>AND(#REF!,"AAAAAF7/I6c=")</f>
        <v>#REF!</v>
      </c>
      <c r="FM43" t="e">
        <f>AND(#REF!,"AAAAAF7/I6g=")</f>
        <v>#REF!</v>
      </c>
      <c r="FN43" t="e">
        <f>AND(#REF!,"AAAAAF7/I6k=")</f>
        <v>#REF!</v>
      </c>
      <c r="FO43" t="e">
        <f>AND(#REF!,"AAAAAF7/I6o=")</f>
        <v>#REF!</v>
      </c>
      <c r="FP43" t="e">
        <f>AND(#REF!,"AAAAAF7/I6s=")</f>
        <v>#REF!</v>
      </c>
      <c r="FQ43" t="e">
        <f>AND(#REF!,"AAAAAF7/I6w=")</f>
        <v>#REF!</v>
      </c>
      <c r="FR43" t="e">
        <f>IF(#REF!,"AAAAAF7/I60=",0)</f>
        <v>#REF!</v>
      </c>
      <c r="FS43" t="e">
        <f>AND(#REF!,"AAAAAF7/I64=")</f>
        <v>#REF!</v>
      </c>
      <c r="FT43" t="e">
        <f>AND(#REF!,"AAAAAF7/I68=")</f>
        <v>#REF!</v>
      </c>
      <c r="FU43" t="e">
        <f>AND(#REF!,"AAAAAF7/I7A=")</f>
        <v>#REF!</v>
      </c>
      <c r="FV43" t="e">
        <f>AND(#REF!,"AAAAAF7/I7E=")</f>
        <v>#REF!</v>
      </c>
      <c r="FW43" t="e">
        <f>AND(#REF!,"AAAAAF7/I7I=")</f>
        <v>#REF!</v>
      </c>
      <c r="FX43" t="e">
        <f>AND(#REF!,"AAAAAF7/I7M=")</f>
        <v>#REF!</v>
      </c>
      <c r="FY43" t="e">
        <f>AND(#REF!,"AAAAAF7/I7Q=")</f>
        <v>#REF!</v>
      </c>
      <c r="FZ43" t="e">
        <f>AND(#REF!,"AAAAAF7/I7U=")</f>
        <v>#REF!</v>
      </c>
      <c r="GA43" t="e">
        <f>AND(#REF!,"AAAAAF7/I7Y=")</f>
        <v>#REF!</v>
      </c>
      <c r="GB43" t="e">
        <f>AND(#REF!,"AAAAAF7/I7c=")</f>
        <v>#REF!</v>
      </c>
      <c r="GC43" t="e">
        <f>AND(#REF!,"AAAAAF7/I7g=")</f>
        <v>#REF!</v>
      </c>
      <c r="GD43" t="e">
        <f>AND(#REF!,"AAAAAF7/I7k=")</f>
        <v>#REF!</v>
      </c>
      <c r="GE43" t="e">
        <f>AND(#REF!,"AAAAAF7/I7o=")</f>
        <v>#REF!</v>
      </c>
      <c r="GF43" t="e">
        <f>AND(#REF!,"AAAAAF7/I7s=")</f>
        <v>#REF!</v>
      </c>
      <c r="GG43" t="e">
        <f>AND(#REF!,"AAAAAF7/I7w=")</f>
        <v>#REF!</v>
      </c>
      <c r="GH43" t="e">
        <f>AND(#REF!,"AAAAAF7/I70=")</f>
        <v>#REF!</v>
      </c>
      <c r="GI43" t="e">
        <f>AND(#REF!,"AAAAAF7/I74=")</f>
        <v>#REF!</v>
      </c>
      <c r="GJ43" t="e">
        <f>AND(#REF!,"AAAAAF7/I78=")</f>
        <v>#REF!</v>
      </c>
      <c r="GK43" t="e">
        <f>AND(#REF!,"AAAAAF7/I8A=")</f>
        <v>#REF!</v>
      </c>
      <c r="GL43" t="e">
        <f>AND(#REF!,"AAAAAF7/I8E=")</f>
        <v>#REF!</v>
      </c>
      <c r="GM43" t="e">
        <f>AND(#REF!,"AAAAAF7/I8I=")</f>
        <v>#REF!</v>
      </c>
      <c r="GN43" t="e">
        <f>AND(#REF!,"AAAAAF7/I8M=")</f>
        <v>#REF!</v>
      </c>
      <c r="GO43" t="e">
        <f>AND(#REF!,"AAAAAF7/I8Q=")</f>
        <v>#REF!</v>
      </c>
      <c r="GP43" t="e">
        <f>IF(#REF!,"AAAAAF7/I8U=",0)</f>
        <v>#REF!</v>
      </c>
      <c r="GQ43" t="e">
        <f>AND(#REF!,"AAAAAF7/I8Y=")</f>
        <v>#REF!</v>
      </c>
      <c r="GR43" t="e">
        <f>AND(#REF!,"AAAAAF7/I8c=")</f>
        <v>#REF!</v>
      </c>
      <c r="GS43" t="e">
        <f>AND(#REF!,"AAAAAF7/I8g=")</f>
        <v>#REF!</v>
      </c>
      <c r="GT43" t="e">
        <f>AND(#REF!,"AAAAAF7/I8k=")</f>
        <v>#REF!</v>
      </c>
      <c r="GU43" t="e">
        <f>AND(#REF!,"AAAAAF7/I8o=")</f>
        <v>#REF!</v>
      </c>
      <c r="GV43" t="e">
        <f>AND(#REF!,"AAAAAF7/I8s=")</f>
        <v>#REF!</v>
      </c>
      <c r="GW43" t="e">
        <f>AND(#REF!,"AAAAAF7/I8w=")</f>
        <v>#REF!</v>
      </c>
      <c r="GX43" t="e">
        <f>AND(#REF!,"AAAAAF7/I80=")</f>
        <v>#REF!</v>
      </c>
      <c r="GY43" t="e">
        <f>AND(#REF!,"AAAAAF7/I84=")</f>
        <v>#REF!</v>
      </c>
      <c r="GZ43" t="e">
        <f>AND(#REF!,"AAAAAF7/I88=")</f>
        <v>#REF!</v>
      </c>
      <c r="HA43" t="e">
        <f>AND(#REF!,"AAAAAF7/I9A=")</f>
        <v>#REF!</v>
      </c>
      <c r="HB43" t="e">
        <f>AND(#REF!,"AAAAAF7/I9E=")</f>
        <v>#REF!</v>
      </c>
      <c r="HC43" t="e">
        <f>AND(#REF!,"AAAAAF7/I9I=")</f>
        <v>#REF!</v>
      </c>
      <c r="HD43" t="e">
        <f>AND(#REF!,"AAAAAF7/I9M=")</f>
        <v>#REF!</v>
      </c>
      <c r="HE43" t="e">
        <f>AND(#REF!,"AAAAAF7/I9Q=")</f>
        <v>#REF!</v>
      </c>
      <c r="HF43" t="e">
        <f>AND(#REF!,"AAAAAF7/I9U=")</f>
        <v>#REF!</v>
      </c>
      <c r="HG43" t="e">
        <f>AND(#REF!,"AAAAAF7/I9Y=")</f>
        <v>#REF!</v>
      </c>
      <c r="HH43" t="e">
        <f>AND(#REF!,"AAAAAF7/I9c=")</f>
        <v>#REF!</v>
      </c>
      <c r="HI43" t="e">
        <f>AND(#REF!,"AAAAAF7/I9g=")</f>
        <v>#REF!</v>
      </c>
      <c r="HJ43" t="e">
        <f>AND(#REF!,"AAAAAF7/I9k=")</f>
        <v>#REF!</v>
      </c>
      <c r="HK43" t="e">
        <f>AND(#REF!,"AAAAAF7/I9o=")</f>
        <v>#REF!</v>
      </c>
      <c r="HL43" t="e">
        <f>AND(#REF!,"AAAAAF7/I9s=")</f>
        <v>#REF!</v>
      </c>
      <c r="HM43" t="e">
        <f>AND(#REF!,"AAAAAF7/I9w=")</f>
        <v>#REF!</v>
      </c>
      <c r="HN43" t="e">
        <f>IF(#REF!,"AAAAAF7/I90=",0)</f>
        <v>#REF!</v>
      </c>
      <c r="HO43" t="e">
        <f>AND(#REF!,"AAAAAF7/I94=")</f>
        <v>#REF!</v>
      </c>
      <c r="HP43" t="e">
        <f>AND(#REF!,"AAAAAF7/I98=")</f>
        <v>#REF!</v>
      </c>
      <c r="HQ43" t="e">
        <f>AND(#REF!,"AAAAAF7/I+A=")</f>
        <v>#REF!</v>
      </c>
      <c r="HR43" t="e">
        <f>AND(#REF!,"AAAAAF7/I+E=")</f>
        <v>#REF!</v>
      </c>
      <c r="HS43" t="e">
        <f>AND(#REF!,"AAAAAF7/I+I=")</f>
        <v>#REF!</v>
      </c>
      <c r="HT43" t="e">
        <f>AND(#REF!,"AAAAAF7/I+M=")</f>
        <v>#REF!</v>
      </c>
      <c r="HU43" t="e">
        <f>AND(#REF!,"AAAAAF7/I+Q=")</f>
        <v>#REF!</v>
      </c>
      <c r="HV43" t="e">
        <f>AND(#REF!,"AAAAAF7/I+U=")</f>
        <v>#REF!</v>
      </c>
      <c r="HW43" t="e">
        <f>AND(#REF!,"AAAAAF7/I+Y=")</f>
        <v>#REF!</v>
      </c>
      <c r="HX43" t="e">
        <f>AND(#REF!,"AAAAAF7/I+c=")</f>
        <v>#REF!</v>
      </c>
      <c r="HY43" t="e">
        <f>AND(#REF!,"AAAAAF7/I+g=")</f>
        <v>#REF!</v>
      </c>
      <c r="HZ43" t="e">
        <f>AND(#REF!,"AAAAAF7/I+k=")</f>
        <v>#REF!</v>
      </c>
      <c r="IA43" t="e">
        <f>AND(#REF!,"AAAAAF7/I+o=")</f>
        <v>#REF!</v>
      </c>
      <c r="IB43" t="e">
        <f>AND(#REF!,"AAAAAF7/I+s=")</f>
        <v>#REF!</v>
      </c>
      <c r="IC43" t="e">
        <f>AND(#REF!,"AAAAAF7/I+w=")</f>
        <v>#REF!</v>
      </c>
      <c r="ID43" t="e">
        <f>AND(#REF!,"AAAAAF7/I+0=")</f>
        <v>#REF!</v>
      </c>
      <c r="IE43" t="e">
        <f>AND(#REF!,"AAAAAF7/I+4=")</f>
        <v>#REF!</v>
      </c>
      <c r="IF43" t="e">
        <f>AND(#REF!,"AAAAAF7/I+8=")</f>
        <v>#REF!</v>
      </c>
      <c r="IG43" t="e">
        <f>AND(#REF!,"AAAAAF7/I/A=")</f>
        <v>#REF!</v>
      </c>
      <c r="IH43" t="e">
        <f>AND(#REF!,"AAAAAF7/I/E=")</f>
        <v>#REF!</v>
      </c>
      <c r="II43" t="e">
        <f>AND(#REF!,"AAAAAF7/I/I=")</f>
        <v>#REF!</v>
      </c>
      <c r="IJ43" t="e">
        <f>AND(#REF!,"AAAAAF7/I/M=")</f>
        <v>#REF!</v>
      </c>
      <c r="IK43" t="e">
        <f>AND(#REF!,"AAAAAF7/I/Q=")</f>
        <v>#REF!</v>
      </c>
      <c r="IL43" t="e">
        <f>IF(#REF!,"AAAAAF7/I/U=",0)</f>
        <v>#REF!</v>
      </c>
      <c r="IM43" t="e">
        <f>AND(#REF!,"AAAAAF7/I/Y=")</f>
        <v>#REF!</v>
      </c>
      <c r="IN43" t="e">
        <f>AND(#REF!,"AAAAAF7/I/c=")</f>
        <v>#REF!</v>
      </c>
      <c r="IO43" t="e">
        <f>AND(#REF!,"AAAAAF7/I/g=")</f>
        <v>#REF!</v>
      </c>
      <c r="IP43" t="e">
        <f>AND(#REF!,"AAAAAF7/I/k=")</f>
        <v>#REF!</v>
      </c>
      <c r="IQ43" t="e">
        <f>AND(#REF!,"AAAAAF7/I/o=")</f>
        <v>#REF!</v>
      </c>
      <c r="IR43" t="e">
        <f>AND(#REF!,"AAAAAF7/I/s=")</f>
        <v>#REF!</v>
      </c>
      <c r="IS43" t="e">
        <f>AND(#REF!,"AAAAAF7/I/w=")</f>
        <v>#REF!</v>
      </c>
      <c r="IT43" t="e">
        <f>AND(#REF!,"AAAAAF7/I/0=")</f>
        <v>#REF!</v>
      </c>
      <c r="IU43" t="e">
        <f>AND(#REF!,"AAAAAF7/I/4=")</f>
        <v>#REF!</v>
      </c>
      <c r="IV43" t="e">
        <f>AND(#REF!,"AAAAAF7/I/8=")</f>
        <v>#REF!</v>
      </c>
    </row>
    <row r="44" spans="1:256" x14ac:dyDescent="0.15">
      <c r="A44" t="e">
        <f>AND(#REF!,"AAAAAEueHwA=")</f>
        <v>#REF!</v>
      </c>
      <c r="B44" t="e">
        <f>AND(#REF!,"AAAAAEueHwE=")</f>
        <v>#REF!</v>
      </c>
      <c r="C44" t="e">
        <f>AND(#REF!,"AAAAAEueHwI=")</f>
        <v>#REF!</v>
      </c>
      <c r="D44" t="e">
        <f>AND(#REF!,"AAAAAEueHwM=")</f>
        <v>#REF!</v>
      </c>
      <c r="E44" t="e">
        <f>AND(#REF!,"AAAAAEueHwQ=")</f>
        <v>#REF!</v>
      </c>
      <c r="F44" t="e">
        <f>AND(#REF!,"AAAAAEueHwU=")</f>
        <v>#REF!</v>
      </c>
      <c r="G44" t="e">
        <f>AND(#REF!,"AAAAAEueHwY=")</f>
        <v>#REF!</v>
      </c>
      <c r="H44" t="e">
        <f>AND(#REF!,"AAAAAEueHwc=")</f>
        <v>#REF!</v>
      </c>
      <c r="I44" t="e">
        <f>AND(#REF!,"AAAAAEueHwg=")</f>
        <v>#REF!</v>
      </c>
      <c r="J44" t="e">
        <f>AND(#REF!,"AAAAAEueHwk=")</f>
        <v>#REF!</v>
      </c>
      <c r="K44" t="e">
        <f>AND(#REF!,"AAAAAEueHwo=")</f>
        <v>#REF!</v>
      </c>
      <c r="L44" t="e">
        <f>AND(#REF!,"AAAAAEueHws=")</f>
        <v>#REF!</v>
      </c>
      <c r="M44" t="e">
        <f>AND(#REF!,"AAAAAEueHww=")</f>
        <v>#REF!</v>
      </c>
      <c r="N44" t="e">
        <f>IF(#REF!,"AAAAAEueHw0=",0)</f>
        <v>#REF!</v>
      </c>
      <c r="O44" t="e">
        <f>AND(#REF!,"AAAAAEueHw4=")</f>
        <v>#REF!</v>
      </c>
      <c r="P44" t="e">
        <f>AND(#REF!,"AAAAAEueHw8=")</f>
        <v>#REF!</v>
      </c>
      <c r="Q44" t="e">
        <f>AND(#REF!,"AAAAAEueHxA=")</f>
        <v>#REF!</v>
      </c>
      <c r="R44" t="e">
        <f>AND(#REF!,"AAAAAEueHxE=")</f>
        <v>#REF!</v>
      </c>
      <c r="S44" t="e">
        <f>AND(#REF!,"AAAAAEueHxI=")</f>
        <v>#REF!</v>
      </c>
      <c r="T44" t="e">
        <f>AND(#REF!,"AAAAAEueHxM=")</f>
        <v>#REF!</v>
      </c>
      <c r="U44" t="e">
        <f>AND(#REF!,"AAAAAEueHxQ=")</f>
        <v>#REF!</v>
      </c>
      <c r="V44" t="e">
        <f>AND(#REF!,"AAAAAEueHxU=")</f>
        <v>#REF!</v>
      </c>
      <c r="W44" t="e">
        <f>AND(#REF!,"AAAAAEueHxY=")</f>
        <v>#REF!</v>
      </c>
      <c r="X44" t="e">
        <f>AND(#REF!,"AAAAAEueHxc=")</f>
        <v>#REF!</v>
      </c>
      <c r="Y44" t="e">
        <f>AND(#REF!,"AAAAAEueHxg=")</f>
        <v>#REF!</v>
      </c>
      <c r="Z44" t="e">
        <f>AND(#REF!,"AAAAAEueHxk=")</f>
        <v>#REF!</v>
      </c>
      <c r="AA44" t="e">
        <f>AND(#REF!,"AAAAAEueHxo=")</f>
        <v>#REF!</v>
      </c>
      <c r="AB44" t="e">
        <f>AND(#REF!,"AAAAAEueHxs=")</f>
        <v>#REF!</v>
      </c>
      <c r="AC44" t="e">
        <f>AND(#REF!,"AAAAAEueHxw=")</f>
        <v>#REF!</v>
      </c>
      <c r="AD44" t="e">
        <f>AND(#REF!,"AAAAAEueHx0=")</f>
        <v>#REF!</v>
      </c>
      <c r="AE44" t="e">
        <f>AND(#REF!,"AAAAAEueHx4=")</f>
        <v>#REF!</v>
      </c>
      <c r="AF44" t="e">
        <f>AND(#REF!,"AAAAAEueHx8=")</f>
        <v>#REF!</v>
      </c>
      <c r="AG44" t="e">
        <f>AND(#REF!,"AAAAAEueHyA=")</f>
        <v>#REF!</v>
      </c>
      <c r="AH44" t="e">
        <f>AND(#REF!,"AAAAAEueHyE=")</f>
        <v>#REF!</v>
      </c>
      <c r="AI44" t="e">
        <f>AND(#REF!,"AAAAAEueHyI=")</f>
        <v>#REF!</v>
      </c>
      <c r="AJ44" t="e">
        <f>AND(#REF!,"AAAAAEueHyM=")</f>
        <v>#REF!</v>
      </c>
      <c r="AK44" t="e">
        <f>AND(#REF!,"AAAAAEueHyQ=")</f>
        <v>#REF!</v>
      </c>
      <c r="AL44" t="e">
        <f>IF(#REF!,"AAAAAEueHyU=",0)</f>
        <v>#REF!</v>
      </c>
      <c r="AM44" t="e">
        <f>AND(#REF!,"AAAAAEueHyY=")</f>
        <v>#REF!</v>
      </c>
      <c r="AN44" t="e">
        <f>AND(#REF!,"AAAAAEueHyc=")</f>
        <v>#REF!</v>
      </c>
      <c r="AO44" t="e">
        <f>AND(#REF!,"AAAAAEueHyg=")</f>
        <v>#REF!</v>
      </c>
      <c r="AP44" t="e">
        <f>AND(#REF!,"AAAAAEueHyk=")</f>
        <v>#REF!</v>
      </c>
      <c r="AQ44" t="e">
        <f>AND(#REF!,"AAAAAEueHyo=")</f>
        <v>#REF!</v>
      </c>
      <c r="AR44" t="e">
        <f>AND(#REF!,"AAAAAEueHys=")</f>
        <v>#REF!</v>
      </c>
      <c r="AS44" t="e">
        <f>AND(#REF!,"AAAAAEueHyw=")</f>
        <v>#REF!</v>
      </c>
      <c r="AT44" t="e">
        <f>AND(#REF!,"AAAAAEueHy0=")</f>
        <v>#REF!</v>
      </c>
      <c r="AU44" t="e">
        <f>AND(#REF!,"AAAAAEueHy4=")</f>
        <v>#REF!</v>
      </c>
      <c r="AV44" t="e">
        <f>AND(#REF!,"AAAAAEueHy8=")</f>
        <v>#REF!</v>
      </c>
      <c r="AW44" t="e">
        <f>AND(#REF!,"AAAAAEueHzA=")</f>
        <v>#REF!</v>
      </c>
      <c r="AX44" t="e">
        <f>AND(#REF!,"AAAAAEueHzE=")</f>
        <v>#REF!</v>
      </c>
      <c r="AY44" t="e">
        <f>AND(#REF!,"AAAAAEueHzI=")</f>
        <v>#REF!</v>
      </c>
      <c r="AZ44" t="e">
        <f>AND(#REF!,"AAAAAEueHzM=")</f>
        <v>#REF!</v>
      </c>
      <c r="BA44" t="e">
        <f>AND(#REF!,"AAAAAEueHzQ=")</f>
        <v>#REF!</v>
      </c>
      <c r="BB44" t="e">
        <f>AND(#REF!,"AAAAAEueHzU=")</f>
        <v>#REF!</v>
      </c>
      <c r="BC44" t="e">
        <f>AND(#REF!,"AAAAAEueHzY=")</f>
        <v>#REF!</v>
      </c>
      <c r="BD44" t="e">
        <f>AND(#REF!,"AAAAAEueHzc=")</f>
        <v>#REF!</v>
      </c>
      <c r="BE44" t="e">
        <f>AND(#REF!,"AAAAAEueHzg=")</f>
        <v>#REF!</v>
      </c>
      <c r="BF44" t="e">
        <f>AND(#REF!,"AAAAAEueHzk=")</f>
        <v>#REF!</v>
      </c>
      <c r="BG44" t="e">
        <f>AND(#REF!,"AAAAAEueHzo=")</f>
        <v>#REF!</v>
      </c>
      <c r="BH44" t="e">
        <f>AND(#REF!,"AAAAAEueHzs=")</f>
        <v>#REF!</v>
      </c>
      <c r="BI44" t="e">
        <f>AND(#REF!,"AAAAAEueHzw=")</f>
        <v>#REF!</v>
      </c>
      <c r="BJ44" t="e">
        <f>IF(#REF!,"AAAAAEueHz0=",0)</f>
        <v>#REF!</v>
      </c>
      <c r="BK44" t="e">
        <f>AND(#REF!,"AAAAAEueHz4=")</f>
        <v>#REF!</v>
      </c>
      <c r="BL44" t="e">
        <f>AND(#REF!,"AAAAAEueHz8=")</f>
        <v>#REF!</v>
      </c>
      <c r="BM44" t="e">
        <f>AND(#REF!,"AAAAAEueH0A=")</f>
        <v>#REF!</v>
      </c>
      <c r="BN44" t="e">
        <f>AND(#REF!,"AAAAAEueH0E=")</f>
        <v>#REF!</v>
      </c>
      <c r="BO44" t="e">
        <f>AND(#REF!,"AAAAAEueH0I=")</f>
        <v>#REF!</v>
      </c>
      <c r="BP44" t="e">
        <f>AND(#REF!,"AAAAAEueH0M=")</f>
        <v>#REF!</v>
      </c>
      <c r="BQ44" t="e">
        <f>AND(#REF!,"AAAAAEueH0Q=")</f>
        <v>#REF!</v>
      </c>
      <c r="BR44" t="e">
        <f>AND(#REF!,"AAAAAEueH0U=")</f>
        <v>#REF!</v>
      </c>
      <c r="BS44" t="e">
        <f>AND(#REF!,"AAAAAEueH0Y=")</f>
        <v>#REF!</v>
      </c>
      <c r="BT44" t="e">
        <f>AND(#REF!,"AAAAAEueH0c=")</f>
        <v>#REF!</v>
      </c>
      <c r="BU44" t="e">
        <f>AND(#REF!,"AAAAAEueH0g=")</f>
        <v>#REF!</v>
      </c>
      <c r="BV44" t="e">
        <f>AND(#REF!,"AAAAAEueH0k=")</f>
        <v>#REF!</v>
      </c>
      <c r="BW44" t="e">
        <f>AND(#REF!,"AAAAAEueH0o=")</f>
        <v>#REF!</v>
      </c>
      <c r="BX44" t="e">
        <f>AND(#REF!,"AAAAAEueH0s=")</f>
        <v>#REF!</v>
      </c>
      <c r="BY44" t="e">
        <f>AND(#REF!,"AAAAAEueH0w=")</f>
        <v>#REF!</v>
      </c>
      <c r="BZ44" t="e">
        <f>AND(#REF!,"AAAAAEueH00=")</f>
        <v>#REF!</v>
      </c>
      <c r="CA44" t="e">
        <f>AND(#REF!,"AAAAAEueH04=")</f>
        <v>#REF!</v>
      </c>
      <c r="CB44" t="e">
        <f>AND(#REF!,"AAAAAEueH08=")</f>
        <v>#REF!</v>
      </c>
      <c r="CC44" t="e">
        <f>AND(#REF!,"AAAAAEueH1A=")</f>
        <v>#REF!</v>
      </c>
      <c r="CD44" t="e">
        <f>AND(#REF!,"AAAAAEueH1E=")</f>
        <v>#REF!</v>
      </c>
      <c r="CE44" t="e">
        <f>AND(#REF!,"AAAAAEueH1I=")</f>
        <v>#REF!</v>
      </c>
      <c r="CF44" t="e">
        <f>AND(#REF!,"AAAAAEueH1M=")</f>
        <v>#REF!</v>
      </c>
      <c r="CG44" t="e">
        <f>AND(#REF!,"AAAAAEueH1Q=")</f>
        <v>#REF!</v>
      </c>
      <c r="CH44" t="e">
        <f>IF(#REF!,"AAAAAEueH1U=",0)</f>
        <v>#REF!</v>
      </c>
      <c r="CI44" t="e">
        <f>AND(#REF!,"AAAAAEueH1Y=")</f>
        <v>#REF!</v>
      </c>
      <c r="CJ44" t="e">
        <f>AND(#REF!,"AAAAAEueH1c=")</f>
        <v>#REF!</v>
      </c>
      <c r="CK44" t="e">
        <f>AND(#REF!,"AAAAAEueH1g=")</f>
        <v>#REF!</v>
      </c>
      <c r="CL44" t="e">
        <f>AND(#REF!,"AAAAAEueH1k=")</f>
        <v>#REF!</v>
      </c>
      <c r="CM44" t="e">
        <f>AND(#REF!,"AAAAAEueH1o=")</f>
        <v>#REF!</v>
      </c>
      <c r="CN44" t="e">
        <f>AND(#REF!,"AAAAAEueH1s=")</f>
        <v>#REF!</v>
      </c>
      <c r="CO44" t="e">
        <f>AND(#REF!,"AAAAAEueH1w=")</f>
        <v>#REF!</v>
      </c>
      <c r="CP44" t="e">
        <f>AND(#REF!,"AAAAAEueH10=")</f>
        <v>#REF!</v>
      </c>
      <c r="CQ44" t="e">
        <f>AND(#REF!,"AAAAAEueH14=")</f>
        <v>#REF!</v>
      </c>
      <c r="CR44" t="e">
        <f>AND(#REF!,"AAAAAEueH18=")</f>
        <v>#REF!</v>
      </c>
      <c r="CS44" t="e">
        <f>AND(#REF!,"AAAAAEueH2A=")</f>
        <v>#REF!</v>
      </c>
      <c r="CT44" t="e">
        <f>AND(#REF!,"AAAAAEueH2E=")</f>
        <v>#REF!</v>
      </c>
      <c r="CU44" t="e">
        <f>AND(#REF!,"AAAAAEueH2I=")</f>
        <v>#REF!</v>
      </c>
      <c r="CV44" t="e">
        <f>AND(#REF!,"AAAAAEueH2M=")</f>
        <v>#REF!</v>
      </c>
      <c r="CW44" t="e">
        <f>AND(#REF!,"AAAAAEueH2Q=")</f>
        <v>#REF!</v>
      </c>
      <c r="CX44" t="e">
        <f>AND(#REF!,"AAAAAEueH2U=")</f>
        <v>#REF!</v>
      </c>
      <c r="CY44" t="e">
        <f>AND(#REF!,"AAAAAEueH2Y=")</f>
        <v>#REF!</v>
      </c>
      <c r="CZ44" t="e">
        <f>AND(#REF!,"AAAAAEueH2c=")</f>
        <v>#REF!</v>
      </c>
      <c r="DA44" t="e">
        <f>AND(#REF!,"AAAAAEueH2g=")</f>
        <v>#REF!</v>
      </c>
      <c r="DB44" t="e">
        <f>AND(#REF!,"AAAAAEueH2k=")</f>
        <v>#REF!</v>
      </c>
      <c r="DC44" t="e">
        <f>AND(#REF!,"AAAAAEueH2o=")</f>
        <v>#REF!</v>
      </c>
      <c r="DD44" t="e">
        <f>AND(#REF!,"AAAAAEueH2s=")</f>
        <v>#REF!</v>
      </c>
      <c r="DE44" t="e">
        <f>AND(#REF!,"AAAAAEueH2w=")</f>
        <v>#REF!</v>
      </c>
      <c r="DF44" t="e">
        <f>IF(#REF!,"AAAAAEueH20=",0)</f>
        <v>#REF!</v>
      </c>
      <c r="DG44" t="e">
        <f>AND(#REF!,"AAAAAEueH24=")</f>
        <v>#REF!</v>
      </c>
      <c r="DH44" t="e">
        <f>AND(#REF!,"AAAAAEueH28=")</f>
        <v>#REF!</v>
      </c>
      <c r="DI44" t="e">
        <f>AND(#REF!,"AAAAAEueH3A=")</f>
        <v>#REF!</v>
      </c>
      <c r="DJ44" t="e">
        <f>AND(#REF!,"AAAAAEueH3E=")</f>
        <v>#REF!</v>
      </c>
      <c r="DK44" t="e">
        <f>AND(#REF!,"AAAAAEueH3I=")</f>
        <v>#REF!</v>
      </c>
      <c r="DL44" t="e">
        <f>AND(#REF!,"AAAAAEueH3M=")</f>
        <v>#REF!</v>
      </c>
      <c r="DM44" t="e">
        <f>AND(#REF!,"AAAAAEueH3Q=")</f>
        <v>#REF!</v>
      </c>
      <c r="DN44" t="e">
        <f>AND(#REF!,"AAAAAEueH3U=")</f>
        <v>#REF!</v>
      </c>
      <c r="DO44" t="e">
        <f>AND(#REF!,"AAAAAEueH3Y=")</f>
        <v>#REF!</v>
      </c>
      <c r="DP44" t="e">
        <f>AND(#REF!,"AAAAAEueH3c=")</f>
        <v>#REF!</v>
      </c>
      <c r="DQ44" t="e">
        <f>AND(#REF!,"AAAAAEueH3g=")</f>
        <v>#REF!</v>
      </c>
      <c r="DR44" t="e">
        <f>AND(#REF!,"AAAAAEueH3k=")</f>
        <v>#REF!</v>
      </c>
      <c r="DS44" t="e">
        <f>AND(#REF!,"AAAAAEueH3o=")</f>
        <v>#REF!</v>
      </c>
      <c r="DT44" t="e">
        <f>AND(#REF!,"AAAAAEueH3s=")</f>
        <v>#REF!</v>
      </c>
      <c r="DU44" t="e">
        <f>AND(#REF!,"AAAAAEueH3w=")</f>
        <v>#REF!</v>
      </c>
      <c r="DV44" t="e">
        <f>AND(#REF!,"AAAAAEueH30=")</f>
        <v>#REF!</v>
      </c>
      <c r="DW44" t="e">
        <f>AND(#REF!,"AAAAAEueH34=")</f>
        <v>#REF!</v>
      </c>
      <c r="DX44" t="e">
        <f>AND(#REF!,"AAAAAEueH38=")</f>
        <v>#REF!</v>
      </c>
      <c r="DY44" t="e">
        <f>AND(#REF!,"AAAAAEueH4A=")</f>
        <v>#REF!</v>
      </c>
      <c r="DZ44" t="e">
        <f>AND(#REF!,"AAAAAEueH4E=")</f>
        <v>#REF!</v>
      </c>
      <c r="EA44" t="e">
        <f>AND(#REF!,"AAAAAEueH4I=")</f>
        <v>#REF!</v>
      </c>
      <c r="EB44" t="e">
        <f>AND(#REF!,"AAAAAEueH4M=")</f>
        <v>#REF!</v>
      </c>
      <c r="EC44" t="e">
        <f>AND(#REF!,"AAAAAEueH4Q=")</f>
        <v>#REF!</v>
      </c>
      <c r="ED44" t="e">
        <f>IF(#REF!,"AAAAAEueH4U=",0)</f>
        <v>#REF!</v>
      </c>
      <c r="EE44" t="e">
        <f>AND(#REF!,"AAAAAEueH4Y=")</f>
        <v>#REF!</v>
      </c>
      <c r="EF44" t="e">
        <f>AND(#REF!,"AAAAAEueH4c=")</f>
        <v>#REF!</v>
      </c>
      <c r="EG44" t="e">
        <f>AND(#REF!,"AAAAAEueH4g=")</f>
        <v>#REF!</v>
      </c>
      <c r="EH44" t="e">
        <f>AND(#REF!,"AAAAAEueH4k=")</f>
        <v>#REF!</v>
      </c>
      <c r="EI44" t="e">
        <f>AND(#REF!,"AAAAAEueH4o=")</f>
        <v>#REF!</v>
      </c>
      <c r="EJ44" t="e">
        <f>AND(#REF!,"AAAAAEueH4s=")</f>
        <v>#REF!</v>
      </c>
      <c r="EK44" t="e">
        <f>AND(#REF!,"AAAAAEueH4w=")</f>
        <v>#REF!</v>
      </c>
      <c r="EL44" t="e">
        <f>AND(#REF!,"AAAAAEueH40=")</f>
        <v>#REF!</v>
      </c>
      <c r="EM44" t="e">
        <f>AND(#REF!,"AAAAAEueH44=")</f>
        <v>#REF!</v>
      </c>
      <c r="EN44" t="e">
        <f>AND(#REF!,"AAAAAEueH48=")</f>
        <v>#REF!</v>
      </c>
      <c r="EO44" t="e">
        <f>AND(#REF!,"AAAAAEueH5A=")</f>
        <v>#REF!</v>
      </c>
      <c r="EP44" t="e">
        <f>AND(#REF!,"AAAAAEueH5E=")</f>
        <v>#REF!</v>
      </c>
      <c r="EQ44" t="e">
        <f>AND(#REF!,"AAAAAEueH5I=")</f>
        <v>#REF!</v>
      </c>
      <c r="ER44" t="e">
        <f>AND(#REF!,"AAAAAEueH5M=")</f>
        <v>#REF!</v>
      </c>
      <c r="ES44" t="e">
        <f>AND(#REF!,"AAAAAEueH5Q=")</f>
        <v>#REF!</v>
      </c>
      <c r="ET44" t="e">
        <f>AND(#REF!,"AAAAAEueH5U=")</f>
        <v>#REF!</v>
      </c>
      <c r="EU44" t="e">
        <f>AND(#REF!,"AAAAAEueH5Y=")</f>
        <v>#REF!</v>
      </c>
      <c r="EV44" t="e">
        <f>AND(#REF!,"AAAAAEueH5c=")</f>
        <v>#REF!</v>
      </c>
      <c r="EW44" t="e">
        <f>AND(#REF!,"AAAAAEueH5g=")</f>
        <v>#REF!</v>
      </c>
      <c r="EX44" t="e">
        <f>AND(#REF!,"AAAAAEueH5k=")</f>
        <v>#REF!</v>
      </c>
      <c r="EY44" t="e">
        <f>AND(#REF!,"AAAAAEueH5o=")</f>
        <v>#REF!</v>
      </c>
      <c r="EZ44" t="e">
        <f>AND(#REF!,"AAAAAEueH5s=")</f>
        <v>#REF!</v>
      </c>
      <c r="FA44" t="e">
        <f>AND(#REF!,"AAAAAEueH5w=")</f>
        <v>#REF!</v>
      </c>
      <c r="FB44" t="e">
        <f>IF(#REF!,"AAAAAEueH50=",0)</f>
        <v>#REF!</v>
      </c>
      <c r="FC44" t="e">
        <f>AND(#REF!,"AAAAAEueH54=")</f>
        <v>#REF!</v>
      </c>
      <c r="FD44" t="e">
        <f>AND(#REF!,"AAAAAEueH58=")</f>
        <v>#REF!</v>
      </c>
      <c r="FE44" t="e">
        <f>AND(#REF!,"AAAAAEueH6A=")</f>
        <v>#REF!</v>
      </c>
      <c r="FF44" t="e">
        <f>AND(#REF!,"AAAAAEueH6E=")</f>
        <v>#REF!</v>
      </c>
      <c r="FG44" t="e">
        <f>AND(#REF!,"AAAAAEueH6I=")</f>
        <v>#REF!</v>
      </c>
      <c r="FH44" t="e">
        <f>AND(#REF!,"AAAAAEueH6M=")</f>
        <v>#REF!</v>
      </c>
      <c r="FI44" t="e">
        <f>AND(#REF!,"AAAAAEueH6Q=")</f>
        <v>#REF!</v>
      </c>
      <c r="FJ44" t="e">
        <f>AND(#REF!,"AAAAAEueH6U=")</f>
        <v>#REF!</v>
      </c>
      <c r="FK44" t="e">
        <f>AND(#REF!,"AAAAAEueH6Y=")</f>
        <v>#REF!</v>
      </c>
      <c r="FL44" t="e">
        <f>AND(#REF!,"AAAAAEueH6c=")</f>
        <v>#REF!</v>
      </c>
      <c r="FM44" t="e">
        <f>AND(#REF!,"AAAAAEueH6g=")</f>
        <v>#REF!</v>
      </c>
      <c r="FN44" t="e">
        <f>AND(#REF!,"AAAAAEueH6k=")</f>
        <v>#REF!</v>
      </c>
      <c r="FO44" t="e">
        <f>AND(#REF!,"AAAAAEueH6o=")</f>
        <v>#REF!</v>
      </c>
      <c r="FP44" t="e">
        <f>AND(#REF!,"AAAAAEueH6s=")</f>
        <v>#REF!</v>
      </c>
      <c r="FQ44" t="e">
        <f>AND(#REF!,"AAAAAEueH6w=")</f>
        <v>#REF!</v>
      </c>
      <c r="FR44" t="e">
        <f>AND(#REF!,"AAAAAEueH60=")</f>
        <v>#REF!</v>
      </c>
      <c r="FS44" t="e">
        <f>AND(#REF!,"AAAAAEueH64=")</f>
        <v>#REF!</v>
      </c>
      <c r="FT44" t="e">
        <f>AND(#REF!,"AAAAAEueH68=")</f>
        <v>#REF!</v>
      </c>
      <c r="FU44" t="e">
        <f>AND(#REF!,"AAAAAEueH7A=")</f>
        <v>#REF!</v>
      </c>
      <c r="FV44" t="e">
        <f>AND(#REF!,"AAAAAEueH7E=")</f>
        <v>#REF!</v>
      </c>
      <c r="FW44" t="e">
        <f>AND(#REF!,"AAAAAEueH7I=")</f>
        <v>#REF!</v>
      </c>
      <c r="FX44" t="e">
        <f>AND(#REF!,"AAAAAEueH7M=")</f>
        <v>#REF!</v>
      </c>
      <c r="FY44" t="e">
        <f>AND(#REF!,"AAAAAEueH7Q=")</f>
        <v>#REF!</v>
      </c>
      <c r="FZ44" t="e">
        <f>IF(#REF!,"AAAAAEueH7U=",0)</f>
        <v>#REF!</v>
      </c>
      <c r="GA44" t="e">
        <f>AND(#REF!,"AAAAAEueH7Y=")</f>
        <v>#REF!</v>
      </c>
      <c r="GB44" t="e">
        <f>AND(#REF!,"AAAAAEueH7c=")</f>
        <v>#REF!</v>
      </c>
      <c r="GC44" t="e">
        <f>AND(#REF!,"AAAAAEueH7g=")</f>
        <v>#REF!</v>
      </c>
      <c r="GD44" t="e">
        <f>AND(#REF!,"AAAAAEueH7k=")</f>
        <v>#REF!</v>
      </c>
      <c r="GE44" t="e">
        <f>AND(#REF!,"AAAAAEueH7o=")</f>
        <v>#REF!</v>
      </c>
      <c r="GF44" t="e">
        <f>AND(#REF!,"AAAAAEueH7s=")</f>
        <v>#REF!</v>
      </c>
      <c r="GG44" t="e">
        <f>AND(#REF!,"AAAAAEueH7w=")</f>
        <v>#REF!</v>
      </c>
      <c r="GH44" t="e">
        <f>AND(#REF!,"AAAAAEueH70=")</f>
        <v>#REF!</v>
      </c>
      <c r="GI44" t="e">
        <f>AND(#REF!,"AAAAAEueH74=")</f>
        <v>#REF!</v>
      </c>
      <c r="GJ44" t="e">
        <f>AND(#REF!,"AAAAAEueH78=")</f>
        <v>#REF!</v>
      </c>
      <c r="GK44" t="e">
        <f>AND(#REF!,"AAAAAEueH8A=")</f>
        <v>#REF!</v>
      </c>
      <c r="GL44" t="e">
        <f>AND(#REF!,"AAAAAEueH8E=")</f>
        <v>#REF!</v>
      </c>
      <c r="GM44" t="e">
        <f>AND(#REF!,"AAAAAEueH8I=")</f>
        <v>#REF!</v>
      </c>
      <c r="GN44" t="e">
        <f>AND(#REF!,"AAAAAEueH8M=")</f>
        <v>#REF!</v>
      </c>
      <c r="GO44" t="e">
        <f>AND(#REF!,"AAAAAEueH8Q=")</f>
        <v>#REF!</v>
      </c>
      <c r="GP44" t="e">
        <f>AND(#REF!,"AAAAAEueH8U=")</f>
        <v>#REF!</v>
      </c>
      <c r="GQ44" t="e">
        <f>AND(#REF!,"AAAAAEueH8Y=")</f>
        <v>#REF!</v>
      </c>
      <c r="GR44" t="e">
        <f>AND(#REF!,"AAAAAEueH8c=")</f>
        <v>#REF!</v>
      </c>
      <c r="GS44" t="e">
        <f>AND(#REF!,"AAAAAEueH8g=")</f>
        <v>#REF!</v>
      </c>
      <c r="GT44" t="e">
        <f>AND(#REF!,"AAAAAEueH8k=")</f>
        <v>#REF!</v>
      </c>
      <c r="GU44" t="e">
        <f>AND(#REF!,"AAAAAEueH8o=")</f>
        <v>#REF!</v>
      </c>
      <c r="GV44" t="e">
        <f>AND(#REF!,"AAAAAEueH8s=")</f>
        <v>#REF!</v>
      </c>
      <c r="GW44" t="e">
        <f>AND(#REF!,"AAAAAEueH8w=")</f>
        <v>#REF!</v>
      </c>
      <c r="GX44" t="e">
        <f>IF(#REF!,"AAAAAEueH80=",0)</f>
        <v>#REF!</v>
      </c>
      <c r="GY44" t="e">
        <f>AND(#REF!,"AAAAAEueH84=")</f>
        <v>#REF!</v>
      </c>
      <c r="GZ44" t="e">
        <f>AND(#REF!,"AAAAAEueH88=")</f>
        <v>#REF!</v>
      </c>
      <c r="HA44" t="e">
        <f>AND(#REF!,"AAAAAEueH9A=")</f>
        <v>#REF!</v>
      </c>
      <c r="HB44" t="e">
        <f>AND(#REF!,"AAAAAEueH9E=")</f>
        <v>#REF!</v>
      </c>
      <c r="HC44" t="e">
        <f>AND(#REF!,"AAAAAEueH9I=")</f>
        <v>#REF!</v>
      </c>
      <c r="HD44" t="e">
        <f>AND(#REF!,"AAAAAEueH9M=")</f>
        <v>#REF!</v>
      </c>
      <c r="HE44" t="e">
        <f>AND(#REF!,"AAAAAEueH9Q=")</f>
        <v>#REF!</v>
      </c>
      <c r="HF44" t="e">
        <f>AND(#REF!,"AAAAAEueH9U=")</f>
        <v>#REF!</v>
      </c>
      <c r="HG44" t="e">
        <f>AND(#REF!,"AAAAAEueH9Y=")</f>
        <v>#REF!</v>
      </c>
      <c r="HH44" t="e">
        <f>AND(#REF!,"AAAAAEueH9c=")</f>
        <v>#REF!</v>
      </c>
      <c r="HI44" t="e">
        <f>AND(#REF!,"AAAAAEueH9g=")</f>
        <v>#REF!</v>
      </c>
      <c r="HJ44" t="e">
        <f>AND(#REF!,"AAAAAEueH9k=")</f>
        <v>#REF!</v>
      </c>
      <c r="HK44" t="e">
        <f>AND(#REF!,"AAAAAEueH9o=")</f>
        <v>#REF!</v>
      </c>
      <c r="HL44" t="e">
        <f>AND(#REF!,"AAAAAEueH9s=")</f>
        <v>#REF!</v>
      </c>
      <c r="HM44" t="e">
        <f>AND(#REF!,"AAAAAEueH9w=")</f>
        <v>#REF!</v>
      </c>
      <c r="HN44" t="e">
        <f>AND(#REF!,"AAAAAEueH90=")</f>
        <v>#REF!</v>
      </c>
      <c r="HO44" t="e">
        <f>AND(#REF!,"AAAAAEueH94=")</f>
        <v>#REF!</v>
      </c>
      <c r="HP44" t="e">
        <f>AND(#REF!,"AAAAAEueH98=")</f>
        <v>#REF!</v>
      </c>
      <c r="HQ44" t="e">
        <f>AND(#REF!,"AAAAAEueH+A=")</f>
        <v>#REF!</v>
      </c>
      <c r="HR44" t="e">
        <f>AND(#REF!,"AAAAAEueH+E=")</f>
        <v>#REF!</v>
      </c>
      <c r="HS44" t="e">
        <f>AND(#REF!,"AAAAAEueH+I=")</f>
        <v>#REF!</v>
      </c>
      <c r="HT44" t="e">
        <f>AND(#REF!,"AAAAAEueH+M=")</f>
        <v>#REF!</v>
      </c>
      <c r="HU44" t="e">
        <f>AND(#REF!,"AAAAAEueH+Q=")</f>
        <v>#REF!</v>
      </c>
      <c r="HV44" t="e">
        <f>IF(#REF!,"AAAAAEueH+U=",0)</f>
        <v>#REF!</v>
      </c>
      <c r="HW44" t="e">
        <f>AND(#REF!,"AAAAAEueH+Y=")</f>
        <v>#REF!</v>
      </c>
      <c r="HX44" t="e">
        <f>AND(#REF!,"AAAAAEueH+c=")</f>
        <v>#REF!</v>
      </c>
      <c r="HY44" t="e">
        <f>AND(#REF!,"AAAAAEueH+g=")</f>
        <v>#REF!</v>
      </c>
      <c r="HZ44" t="e">
        <f>AND(#REF!,"AAAAAEueH+k=")</f>
        <v>#REF!</v>
      </c>
      <c r="IA44" t="e">
        <f>AND(#REF!,"AAAAAEueH+o=")</f>
        <v>#REF!</v>
      </c>
      <c r="IB44" t="e">
        <f>AND(#REF!,"AAAAAEueH+s=")</f>
        <v>#REF!</v>
      </c>
      <c r="IC44" t="e">
        <f>AND(#REF!,"AAAAAEueH+w=")</f>
        <v>#REF!</v>
      </c>
      <c r="ID44" t="e">
        <f>AND(#REF!,"AAAAAEueH+0=")</f>
        <v>#REF!</v>
      </c>
      <c r="IE44" t="e">
        <f>AND(#REF!,"AAAAAEueH+4=")</f>
        <v>#REF!</v>
      </c>
      <c r="IF44" t="e">
        <f>AND(#REF!,"AAAAAEueH+8=")</f>
        <v>#REF!</v>
      </c>
      <c r="IG44" t="e">
        <f>AND(#REF!,"AAAAAEueH/A=")</f>
        <v>#REF!</v>
      </c>
      <c r="IH44" t="e">
        <f>AND(#REF!,"AAAAAEueH/E=")</f>
        <v>#REF!</v>
      </c>
      <c r="II44" t="e">
        <f>AND(#REF!,"AAAAAEueH/I=")</f>
        <v>#REF!</v>
      </c>
      <c r="IJ44" t="e">
        <f>AND(#REF!,"AAAAAEueH/M=")</f>
        <v>#REF!</v>
      </c>
      <c r="IK44" t="e">
        <f>AND(#REF!,"AAAAAEueH/Q=")</f>
        <v>#REF!</v>
      </c>
      <c r="IL44" t="e">
        <f>AND(#REF!,"AAAAAEueH/U=")</f>
        <v>#REF!</v>
      </c>
      <c r="IM44" t="e">
        <f>AND(#REF!,"AAAAAEueH/Y=")</f>
        <v>#REF!</v>
      </c>
      <c r="IN44" t="e">
        <f>AND(#REF!,"AAAAAEueH/c=")</f>
        <v>#REF!</v>
      </c>
      <c r="IO44" t="e">
        <f>AND(#REF!,"AAAAAEueH/g=")</f>
        <v>#REF!</v>
      </c>
      <c r="IP44" t="e">
        <f>AND(#REF!,"AAAAAEueH/k=")</f>
        <v>#REF!</v>
      </c>
      <c r="IQ44" t="e">
        <f>AND(#REF!,"AAAAAEueH/o=")</f>
        <v>#REF!</v>
      </c>
      <c r="IR44" t="e">
        <f>AND(#REF!,"AAAAAEueH/s=")</f>
        <v>#REF!</v>
      </c>
      <c r="IS44" t="e">
        <f>AND(#REF!,"AAAAAEueH/w=")</f>
        <v>#REF!</v>
      </c>
      <c r="IT44" t="e">
        <f>IF(#REF!,"AAAAAEueH/0=",0)</f>
        <v>#REF!</v>
      </c>
      <c r="IU44" t="e">
        <f>AND(#REF!,"AAAAAEueH/4=")</f>
        <v>#REF!</v>
      </c>
      <c r="IV44" t="e">
        <f>AND(#REF!,"AAAAAEueH/8=")</f>
        <v>#REF!</v>
      </c>
    </row>
    <row r="45" spans="1:256" x14ac:dyDescent="0.15">
      <c r="A45" t="e">
        <f>AND(#REF!,"AAAAAB87/gA=")</f>
        <v>#REF!</v>
      </c>
      <c r="B45" t="e">
        <f>AND(#REF!,"AAAAAB87/gE=")</f>
        <v>#REF!</v>
      </c>
      <c r="C45" t="e">
        <f>AND(#REF!,"AAAAAB87/gI=")</f>
        <v>#REF!</v>
      </c>
      <c r="D45" t="e">
        <f>AND(#REF!,"AAAAAB87/gM=")</f>
        <v>#REF!</v>
      </c>
      <c r="E45" t="e">
        <f>AND(#REF!,"AAAAAB87/gQ=")</f>
        <v>#REF!</v>
      </c>
      <c r="F45" t="e">
        <f>AND(#REF!,"AAAAAB87/gU=")</f>
        <v>#REF!</v>
      </c>
      <c r="G45" t="e">
        <f>AND(#REF!,"AAAAAB87/gY=")</f>
        <v>#REF!</v>
      </c>
      <c r="H45" t="e">
        <f>AND(#REF!,"AAAAAB87/gc=")</f>
        <v>#REF!</v>
      </c>
      <c r="I45" t="e">
        <f>AND(#REF!,"AAAAAB87/gg=")</f>
        <v>#REF!</v>
      </c>
      <c r="J45" t="e">
        <f>AND(#REF!,"AAAAAB87/gk=")</f>
        <v>#REF!</v>
      </c>
      <c r="K45" t="e">
        <f>AND(#REF!,"AAAAAB87/go=")</f>
        <v>#REF!</v>
      </c>
      <c r="L45" t="e">
        <f>AND(#REF!,"AAAAAB87/gs=")</f>
        <v>#REF!</v>
      </c>
      <c r="M45" t="e">
        <f>AND(#REF!,"AAAAAB87/gw=")</f>
        <v>#REF!</v>
      </c>
      <c r="N45" t="e">
        <f>AND(#REF!,"AAAAAB87/g0=")</f>
        <v>#REF!</v>
      </c>
      <c r="O45" t="e">
        <f>AND(#REF!,"AAAAAB87/g4=")</f>
        <v>#REF!</v>
      </c>
      <c r="P45" t="e">
        <f>AND(#REF!,"AAAAAB87/g8=")</f>
        <v>#REF!</v>
      </c>
      <c r="Q45" t="e">
        <f>AND(#REF!,"AAAAAB87/hA=")</f>
        <v>#REF!</v>
      </c>
      <c r="R45" t="e">
        <f>AND(#REF!,"AAAAAB87/hE=")</f>
        <v>#REF!</v>
      </c>
      <c r="S45" t="e">
        <f>AND(#REF!,"AAAAAB87/hI=")</f>
        <v>#REF!</v>
      </c>
      <c r="T45" t="e">
        <f>AND(#REF!,"AAAAAB87/hM=")</f>
        <v>#REF!</v>
      </c>
      <c r="U45" t="e">
        <f>AND(#REF!,"AAAAAB87/hQ=")</f>
        <v>#REF!</v>
      </c>
      <c r="V45" t="e">
        <f>IF(#REF!,"AAAAAB87/hU=",0)</f>
        <v>#REF!</v>
      </c>
      <c r="W45" t="e">
        <f>AND(#REF!,"AAAAAB87/hY=")</f>
        <v>#REF!</v>
      </c>
      <c r="X45" t="e">
        <f>AND(#REF!,"AAAAAB87/hc=")</f>
        <v>#REF!</v>
      </c>
      <c r="Y45" t="e">
        <f>AND(#REF!,"AAAAAB87/hg=")</f>
        <v>#REF!</v>
      </c>
      <c r="Z45" t="e">
        <f>AND(#REF!,"AAAAAB87/hk=")</f>
        <v>#REF!</v>
      </c>
      <c r="AA45" t="e">
        <f>AND(#REF!,"AAAAAB87/ho=")</f>
        <v>#REF!</v>
      </c>
      <c r="AB45" t="e">
        <f>AND(#REF!,"AAAAAB87/hs=")</f>
        <v>#REF!</v>
      </c>
      <c r="AC45" t="e">
        <f>AND(#REF!,"AAAAAB87/hw=")</f>
        <v>#REF!</v>
      </c>
      <c r="AD45" t="e">
        <f>AND(#REF!,"AAAAAB87/h0=")</f>
        <v>#REF!</v>
      </c>
      <c r="AE45" t="e">
        <f>AND(#REF!,"AAAAAB87/h4=")</f>
        <v>#REF!</v>
      </c>
      <c r="AF45" t="e">
        <f>AND(#REF!,"AAAAAB87/h8=")</f>
        <v>#REF!</v>
      </c>
      <c r="AG45" t="e">
        <f>AND(#REF!,"AAAAAB87/iA=")</f>
        <v>#REF!</v>
      </c>
      <c r="AH45" t="e">
        <f>AND(#REF!,"AAAAAB87/iE=")</f>
        <v>#REF!</v>
      </c>
      <c r="AI45" t="e">
        <f>AND(#REF!,"AAAAAB87/iI=")</f>
        <v>#REF!</v>
      </c>
      <c r="AJ45" t="e">
        <f>AND(#REF!,"AAAAAB87/iM=")</f>
        <v>#REF!</v>
      </c>
      <c r="AK45" t="e">
        <f>AND(#REF!,"AAAAAB87/iQ=")</f>
        <v>#REF!</v>
      </c>
      <c r="AL45" t="e">
        <f>AND(#REF!,"AAAAAB87/iU=")</f>
        <v>#REF!</v>
      </c>
      <c r="AM45" t="e">
        <f>AND(#REF!,"AAAAAB87/iY=")</f>
        <v>#REF!</v>
      </c>
      <c r="AN45" t="e">
        <f>AND(#REF!,"AAAAAB87/ic=")</f>
        <v>#REF!</v>
      </c>
      <c r="AO45" t="e">
        <f>AND(#REF!,"AAAAAB87/ig=")</f>
        <v>#REF!</v>
      </c>
      <c r="AP45" t="e">
        <f>AND(#REF!,"AAAAAB87/ik=")</f>
        <v>#REF!</v>
      </c>
      <c r="AQ45" t="e">
        <f>AND(#REF!,"AAAAAB87/io=")</f>
        <v>#REF!</v>
      </c>
      <c r="AR45" t="e">
        <f>AND(#REF!,"AAAAAB87/is=")</f>
        <v>#REF!</v>
      </c>
      <c r="AS45" t="e">
        <f>AND(#REF!,"AAAAAB87/iw=")</f>
        <v>#REF!</v>
      </c>
      <c r="AT45" t="e">
        <f>IF(#REF!,"AAAAAB87/i0=",0)</f>
        <v>#REF!</v>
      </c>
      <c r="AU45" t="e">
        <f>AND(#REF!,"AAAAAB87/i4=")</f>
        <v>#REF!</v>
      </c>
      <c r="AV45" t="e">
        <f>AND(#REF!,"AAAAAB87/i8=")</f>
        <v>#REF!</v>
      </c>
      <c r="AW45" t="e">
        <f>AND(#REF!,"AAAAAB87/jA=")</f>
        <v>#REF!</v>
      </c>
      <c r="AX45" t="e">
        <f>AND(#REF!,"AAAAAB87/jE=")</f>
        <v>#REF!</v>
      </c>
      <c r="AY45" t="e">
        <f>AND(#REF!,"AAAAAB87/jI=")</f>
        <v>#REF!</v>
      </c>
      <c r="AZ45" t="e">
        <f>AND(#REF!,"AAAAAB87/jM=")</f>
        <v>#REF!</v>
      </c>
      <c r="BA45" t="e">
        <f>AND(#REF!,"AAAAAB87/jQ=")</f>
        <v>#REF!</v>
      </c>
      <c r="BB45" t="e">
        <f>AND(#REF!,"AAAAAB87/jU=")</f>
        <v>#REF!</v>
      </c>
      <c r="BC45" t="e">
        <f>AND(#REF!,"AAAAAB87/jY=")</f>
        <v>#REF!</v>
      </c>
      <c r="BD45" t="e">
        <f>AND(#REF!,"AAAAAB87/jc=")</f>
        <v>#REF!</v>
      </c>
      <c r="BE45" t="e">
        <f>AND(#REF!,"AAAAAB87/jg=")</f>
        <v>#REF!</v>
      </c>
      <c r="BF45" t="e">
        <f>AND(#REF!,"AAAAAB87/jk=")</f>
        <v>#REF!</v>
      </c>
      <c r="BG45" t="e">
        <f>AND(#REF!,"AAAAAB87/jo=")</f>
        <v>#REF!</v>
      </c>
      <c r="BH45" t="e">
        <f>AND(#REF!,"AAAAAB87/js=")</f>
        <v>#REF!</v>
      </c>
      <c r="BI45" t="e">
        <f>AND(#REF!,"AAAAAB87/jw=")</f>
        <v>#REF!</v>
      </c>
      <c r="BJ45" t="e">
        <f>AND(#REF!,"AAAAAB87/j0=")</f>
        <v>#REF!</v>
      </c>
      <c r="BK45" t="e">
        <f>AND(#REF!,"AAAAAB87/j4=")</f>
        <v>#REF!</v>
      </c>
      <c r="BL45" t="e">
        <f>AND(#REF!,"AAAAAB87/j8=")</f>
        <v>#REF!</v>
      </c>
      <c r="BM45" t="e">
        <f>AND(#REF!,"AAAAAB87/kA=")</f>
        <v>#REF!</v>
      </c>
      <c r="BN45" t="e">
        <f>AND(#REF!,"AAAAAB87/kE=")</f>
        <v>#REF!</v>
      </c>
      <c r="BO45" t="e">
        <f>AND(#REF!,"AAAAAB87/kI=")</f>
        <v>#REF!</v>
      </c>
      <c r="BP45" t="e">
        <f>AND(#REF!,"AAAAAB87/kM=")</f>
        <v>#REF!</v>
      </c>
      <c r="BQ45" t="e">
        <f>AND(#REF!,"AAAAAB87/kQ=")</f>
        <v>#REF!</v>
      </c>
      <c r="BR45" t="e">
        <f>IF(#REF!,"AAAAAB87/kU=",0)</f>
        <v>#REF!</v>
      </c>
      <c r="BS45" t="e">
        <f>AND(#REF!,"AAAAAB87/kY=")</f>
        <v>#REF!</v>
      </c>
      <c r="BT45" t="e">
        <f>AND(#REF!,"AAAAAB87/kc=")</f>
        <v>#REF!</v>
      </c>
      <c r="BU45" t="e">
        <f>AND(#REF!,"AAAAAB87/kg=")</f>
        <v>#REF!</v>
      </c>
      <c r="BV45" t="e">
        <f>AND(#REF!,"AAAAAB87/kk=")</f>
        <v>#REF!</v>
      </c>
      <c r="BW45" t="e">
        <f>AND(#REF!,"AAAAAB87/ko=")</f>
        <v>#REF!</v>
      </c>
      <c r="BX45" t="e">
        <f>AND(#REF!,"AAAAAB87/ks=")</f>
        <v>#REF!</v>
      </c>
      <c r="BY45" t="e">
        <f>AND(#REF!,"AAAAAB87/kw=")</f>
        <v>#REF!</v>
      </c>
      <c r="BZ45" t="e">
        <f>AND(#REF!,"AAAAAB87/k0=")</f>
        <v>#REF!</v>
      </c>
      <c r="CA45" t="e">
        <f>AND(#REF!,"AAAAAB87/k4=")</f>
        <v>#REF!</v>
      </c>
      <c r="CB45" t="e">
        <f>AND(#REF!,"AAAAAB87/k8=")</f>
        <v>#REF!</v>
      </c>
      <c r="CC45" t="e">
        <f>AND(#REF!,"AAAAAB87/lA=")</f>
        <v>#REF!</v>
      </c>
      <c r="CD45" t="e">
        <f>AND(#REF!,"AAAAAB87/lE=")</f>
        <v>#REF!</v>
      </c>
      <c r="CE45" t="e">
        <f>AND(#REF!,"AAAAAB87/lI=")</f>
        <v>#REF!</v>
      </c>
      <c r="CF45" t="e">
        <f>AND(#REF!,"AAAAAB87/lM=")</f>
        <v>#REF!</v>
      </c>
      <c r="CG45" t="e">
        <f>AND(#REF!,"AAAAAB87/lQ=")</f>
        <v>#REF!</v>
      </c>
      <c r="CH45" t="e">
        <f>AND(#REF!,"AAAAAB87/lU=")</f>
        <v>#REF!</v>
      </c>
      <c r="CI45" t="e">
        <f>AND(#REF!,"AAAAAB87/lY=")</f>
        <v>#REF!</v>
      </c>
      <c r="CJ45" t="e">
        <f>AND(#REF!,"AAAAAB87/lc=")</f>
        <v>#REF!</v>
      </c>
      <c r="CK45" t="e">
        <f>AND(#REF!,"AAAAAB87/lg=")</f>
        <v>#REF!</v>
      </c>
      <c r="CL45" t="e">
        <f>AND(#REF!,"AAAAAB87/lk=")</f>
        <v>#REF!</v>
      </c>
      <c r="CM45" t="e">
        <f>AND(#REF!,"AAAAAB87/lo=")</f>
        <v>#REF!</v>
      </c>
      <c r="CN45" t="e">
        <f>AND(#REF!,"AAAAAB87/ls=")</f>
        <v>#REF!</v>
      </c>
      <c r="CO45" t="e">
        <f>AND(#REF!,"AAAAAB87/lw=")</f>
        <v>#REF!</v>
      </c>
      <c r="CP45" t="e">
        <f>IF(#REF!,"AAAAAB87/l0=",0)</f>
        <v>#REF!</v>
      </c>
      <c r="CQ45" t="e">
        <f>AND(#REF!,"AAAAAB87/l4=")</f>
        <v>#REF!</v>
      </c>
      <c r="CR45" t="e">
        <f>AND(#REF!,"AAAAAB87/l8=")</f>
        <v>#REF!</v>
      </c>
      <c r="CS45" t="e">
        <f>AND(#REF!,"AAAAAB87/mA=")</f>
        <v>#REF!</v>
      </c>
      <c r="CT45" t="e">
        <f>AND(#REF!,"AAAAAB87/mE=")</f>
        <v>#REF!</v>
      </c>
      <c r="CU45" t="e">
        <f>AND(#REF!,"AAAAAB87/mI=")</f>
        <v>#REF!</v>
      </c>
      <c r="CV45" t="e">
        <f>AND(#REF!,"AAAAAB87/mM=")</f>
        <v>#REF!</v>
      </c>
      <c r="CW45" t="e">
        <f>AND(#REF!,"AAAAAB87/mQ=")</f>
        <v>#REF!</v>
      </c>
      <c r="CX45" t="e">
        <f>AND(#REF!,"AAAAAB87/mU=")</f>
        <v>#REF!</v>
      </c>
      <c r="CY45" t="e">
        <f>AND(#REF!,"AAAAAB87/mY=")</f>
        <v>#REF!</v>
      </c>
      <c r="CZ45" t="e">
        <f>AND(#REF!,"AAAAAB87/mc=")</f>
        <v>#REF!</v>
      </c>
      <c r="DA45" t="e">
        <f>AND(#REF!,"AAAAAB87/mg=")</f>
        <v>#REF!</v>
      </c>
      <c r="DB45" t="e">
        <f>AND(#REF!,"AAAAAB87/mk=")</f>
        <v>#REF!</v>
      </c>
      <c r="DC45" t="e">
        <f>AND(#REF!,"AAAAAB87/mo=")</f>
        <v>#REF!</v>
      </c>
      <c r="DD45" t="e">
        <f>AND(#REF!,"AAAAAB87/ms=")</f>
        <v>#REF!</v>
      </c>
      <c r="DE45" t="e">
        <f>AND(#REF!,"AAAAAB87/mw=")</f>
        <v>#REF!</v>
      </c>
      <c r="DF45" t="e">
        <f>AND(#REF!,"AAAAAB87/m0=")</f>
        <v>#REF!</v>
      </c>
      <c r="DG45" t="e">
        <f>AND(#REF!,"AAAAAB87/m4=")</f>
        <v>#REF!</v>
      </c>
      <c r="DH45" t="e">
        <f>AND(#REF!,"AAAAAB87/m8=")</f>
        <v>#REF!</v>
      </c>
      <c r="DI45" t="e">
        <f>AND(#REF!,"AAAAAB87/nA=")</f>
        <v>#REF!</v>
      </c>
      <c r="DJ45" t="e">
        <f>AND(#REF!,"AAAAAB87/nE=")</f>
        <v>#REF!</v>
      </c>
      <c r="DK45" t="e">
        <f>AND(#REF!,"AAAAAB87/nI=")</f>
        <v>#REF!</v>
      </c>
      <c r="DL45" t="e">
        <f>AND(#REF!,"AAAAAB87/nM=")</f>
        <v>#REF!</v>
      </c>
      <c r="DM45" t="e">
        <f>AND(#REF!,"AAAAAB87/nQ=")</f>
        <v>#REF!</v>
      </c>
      <c r="DN45" t="e">
        <f>IF(#REF!,"AAAAAB87/nU=",0)</f>
        <v>#REF!</v>
      </c>
      <c r="DO45" t="e">
        <f>AND(#REF!,"AAAAAB87/nY=")</f>
        <v>#REF!</v>
      </c>
      <c r="DP45" t="e">
        <f>AND(#REF!,"AAAAAB87/nc=")</f>
        <v>#REF!</v>
      </c>
      <c r="DQ45" t="e">
        <f>AND(#REF!,"AAAAAB87/ng=")</f>
        <v>#REF!</v>
      </c>
      <c r="DR45" t="e">
        <f>AND(#REF!,"AAAAAB87/nk=")</f>
        <v>#REF!</v>
      </c>
      <c r="DS45" t="e">
        <f>AND(#REF!,"AAAAAB87/no=")</f>
        <v>#REF!</v>
      </c>
      <c r="DT45" t="e">
        <f>AND(#REF!,"AAAAAB87/ns=")</f>
        <v>#REF!</v>
      </c>
      <c r="DU45" t="e">
        <f>AND(#REF!,"AAAAAB87/nw=")</f>
        <v>#REF!</v>
      </c>
      <c r="DV45" t="e">
        <f>AND(#REF!,"AAAAAB87/n0=")</f>
        <v>#REF!</v>
      </c>
      <c r="DW45" t="e">
        <f>AND(#REF!,"AAAAAB87/n4=")</f>
        <v>#REF!</v>
      </c>
      <c r="DX45" t="e">
        <f>AND(#REF!,"AAAAAB87/n8=")</f>
        <v>#REF!</v>
      </c>
      <c r="DY45" t="e">
        <f>AND(#REF!,"AAAAAB87/oA=")</f>
        <v>#REF!</v>
      </c>
      <c r="DZ45" t="e">
        <f>AND(#REF!,"AAAAAB87/oE=")</f>
        <v>#REF!</v>
      </c>
      <c r="EA45" t="e">
        <f>AND(#REF!,"AAAAAB87/oI=")</f>
        <v>#REF!</v>
      </c>
      <c r="EB45" t="e">
        <f>AND(#REF!,"AAAAAB87/oM=")</f>
        <v>#REF!</v>
      </c>
      <c r="EC45" t="e">
        <f>AND(#REF!,"AAAAAB87/oQ=")</f>
        <v>#REF!</v>
      </c>
      <c r="ED45" t="e">
        <f>AND(#REF!,"AAAAAB87/oU=")</f>
        <v>#REF!</v>
      </c>
      <c r="EE45" t="e">
        <f>AND(#REF!,"AAAAAB87/oY=")</f>
        <v>#REF!</v>
      </c>
      <c r="EF45" t="e">
        <f>AND(#REF!,"AAAAAB87/oc=")</f>
        <v>#REF!</v>
      </c>
      <c r="EG45" t="e">
        <f>AND(#REF!,"AAAAAB87/og=")</f>
        <v>#REF!</v>
      </c>
      <c r="EH45" t="e">
        <f>AND(#REF!,"AAAAAB87/ok=")</f>
        <v>#REF!</v>
      </c>
      <c r="EI45" t="e">
        <f>AND(#REF!,"AAAAAB87/oo=")</f>
        <v>#REF!</v>
      </c>
      <c r="EJ45" t="e">
        <f>AND(#REF!,"AAAAAB87/os=")</f>
        <v>#REF!</v>
      </c>
      <c r="EK45" t="e">
        <f>AND(#REF!,"AAAAAB87/ow=")</f>
        <v>#REF!</v>
      </c>
      <c r="EL45" t="e">
        <f>IF(#REF!,"AAAAAB87/o0=",0)</f>
        <v>#REF!</v>
      </c>
      <c r="EM45" t="e">
        <f>AND(#REF!,"AAAAAB87/o4=")</f>
        <v>#REF!</v>
      </c>
      <c r="EN45" t="e">
        <f>AND(#REF!,"AAAAAB87/o8=")</f>
        <v>#REF!</v>
      </c>
      <c r="EO45" t="e">
        <f>AND(#REF!,"AAAAAB87/pA=")</f>
        <v>#REF!</v>
      </c>
      <c r="EP45" t="e">
        <f>AND(#REF!,"AAAAAB87/pE=")</f>
        <v>#REF!</v>
      </c>
      <c r="EQ45" t="e">
        <f>AND(#REF!,"AAAAAB87/pI=")</f>
        <v>#REF!</v>
      </c>
      <c r="ER45" t="e">
        <f>AND(#REF!,"AAAAAB87/pM=")</f>
        <v>#REF!</v>
      </c>
      <c r="ES45" t="e">
        <f>AND(#REF!,"AAAAAB87/pQ=")</f>
        <v>#REF!</v>
      </c>
      <c r="ET45" t="e">
        <f>AND(#REF!,"AAAAAB87/pU=")</f>
        <v>#REF!</v>
      </c>
      <c r="EU45" t="e">
        <f>AND(#REF!,"AAAAAB87/pY=")</f>
        <v>#REF!</v>
      </c>
      <c r="EV45" t="e">
        <f>AND(#REF!,"AAAAAB87/pc=")</f>
        <v>#REF!</v>
      </c>
      <c r="EW45" t="e">
        <f>AND(#REF!,"AAAAAB87/pg=")</f>
        <v>#REF!</v>
      </c>
      <c r="EX45" t="e">
        <f>AND(#REF!,"AAAAAB87/pk=")</f>
        <v>#REF!</v>
      </c>
      <c r="EY45" t="e">
        <f>AND(#REF!,"AAAAAB87/po=")</f>
        <v>#REF!</v>
      </c>
      <c r="EZ45" t="e">
        <f>AND(#REF!,"AAAAAB87/ps=")</f>
        <v>#REF!</v>
      </c>
      <c r="FA45" t="e">
        <f>AND(#REF!,"AAAAAB87/pw=")</f>
        <v>#REF!</v>
      </c>
      <c r="FB45" t="e">
        <f>AND(#REF!,"AAAAAB87/p0=")</f>
        <v>#REF!</v>
      </c>
      <c r="FC45" t="e">
        <f>AND(#REF!,"AAAAAB87/p4=")</f>
        <v>#REF!</v>
      </c>
      <c r="FD45" t="e">
        <f>AND(#REF!,"AAAAAB87/p8=")</f>
        <v>#REF!</v>
      </c>
      <c r="FE45" t="e">
        <f>AND(#REF!,"AAAAAB87/qA=")</f>
        <v>#REF!</v>
      </c>
      <c r="FF45" t="e">
        <f>AND(#REF!,"AAAAAB87/qE=")</f>
        <v>#REF!</v>
      </c>
      <c r="FG45" t="e">
        <f>AND(#REF!,"AAAAAB87/qI=")</f>
        <v>#REF!</v>
      </c>
      <c r="FH45" t="e">
        <f>AND(#REF!,"AAAAAB87/qM=")</f>
        <v>#REF!</v>
      </c>
      <c r="FI45" t="e">
        <f>AND(#REF!,"AAAAAB87/qQ=")</f>
        <v>#REF!</v>
      </c>
      <c r="FJ45" t="e">
        <f>IF(#REF!,"AAAAAB87/qU=",0)</f>
        <v>#REF!</v>
      </c>
      <c r="FK45" t="e">
        <f>AND(#REF!,"AAAAAB87/qY=")</f>
        <v>#REF!</v>
      </c>
      <c r="FL45" t="e">
        <f>AND(#REF!,"AAAAAB87/qc=")</f>
        <v>#REF!</v>
      </c>
      <c r="FM45" t="e">
        <f>AND(#REF!,"AAAAAB87/qg=")</f>
        <v>#REF!</v>
      </c>
      <c r="FN45" t="e">
        <f>AND(#REF!,"AAAAAB87/qk=")</f>
        <v>#REF!</v>
      </c>
      <c r="FO45" t="e">
        <f>AND(#REF!,"AAAAAB87/qo=")</f>
        <v>#REF!</v>
      </c>
      <c r="FP45" t="e">
        <f>AND(#REF!,"AAAAAB87/qs=")</f>
        <v>#REF!</v>
      </c>
      <c r="FQ45" t="e">
        <f>AND(#REF!,"AAAAAB87/qw=")</f>
        <v>#REF!</v>
      </c>
      <c r="FR45" t="e">
        <f>AND(#REF!,"AAAAAB87/q0=")</f>
        <v>#REF!</v>
      </c>
      <c r="FS45" t="e">
        <f>AND(#REF!,"AAAAAB87/q4=")</f>
        <v>#REF!</v>
      </c>
      <c r="FT45" t="e">
        <f>AND(#REF!,"AAAAAB87/q8=")</f>
        <v>#REF!</v>
      </c>
      <c r="FU45" t="e">
        <f>AND(#REF!,"AAAAAB87/rA=")</f>
        <v>#REF!</v>
      </c>
      <c r="FV45" t="e">
        <f>AND(#REF!,"AAAAAB87/rE=")</f>
        <v>#REF!</v>
      </c>
      <c r="FW45" t="e">
        <f>AND(#REF!,"AAAAAB87/rI=")</f>
        <v>#REF!</v>
      </c>
      <c r="FX45" t="e">
        <f>AND(#REF!,"AAAAAB87/rM=")</f>
        <v>#REF!</v>
      </c>
      <c r="FY45" t="e">
        <f>AND(#REF!,"AAAAAB87/rQ=")</f>
        <v>#REF!</v>
      </c>
      <c r="FZ45" t="e">
        <f>AND(#REF!,"AAAAAB87/rU=")</f>
        <v>#REF!</v>
      </c>
      <c r="GA45" t="e">
        <f>AND(#REF!,"AAAAAB87/rY=")</f>
        <v>#REF!</v>
      </c>
      <c r="GB45" t="e">
        <f>AND(#REF!,"AAAAAB87/rc=")</f>
        <v>#REF!</v>
      </c>
      <c r="GC45" t="e">
        <f>AND(#REF!,"AAAAAB87/rg=")</f>
        <v>#REF!</v>
      </c>
      <c r="GD45" t="e">
        <f>AND(#REF!,"AAAAAB87/rk=")</f>
        <v>#REF!</v>
      </c>
      <c r="GE45" t="e">
        <f>AND(#REF!,"AAAAAB87/ro=")</f>
        <v>#REF!</v>
      </c>
      <c r="GF45" t="e">
        <f>AND(#REF!,"AAAAAB87/rs=")</f>
        <v>#REF!</v>
      </c>
      <c r="GG45" t="e">
        <f>AND(#REF!,"AAAAAB87/rw=")</f>
        <v>#REF!</v>
      </c>
      <c r="GH45" t="e">
        <f>IF(#REF!,"AAAAAB87/r0=",0)</f>
        <v>#REF!</v>
      </c>
      <c r="GI45" t="e">
        <f>AND(#REF!,"AAAAAB87/r4=")</f>
        <v>#REF!</v>
      </c>
      <c r="GJ45" t="e">
        <f>AND(#REF!,"AAAAAB87/r8=")</f>
        <v>#REF!</v>
      </c>
      <c r="GK45" t="e">
        <f>AND(#REF!,"AAAAAB87/sA=")</f>
        <v>#REF!</v>
      </c>
      <c r="GL45" t="e">
        <f>AND(#REF!,"AAAAAB87/sE=")</f>
        <v>#REF!</v>
      </c>
      <c r="GM45" t="e">
        <f>AND(#REF!,"AAAAAB87/sI=")</f>
        <v>#REF!</v>
      </c>
      <c r="GN45" t="e">
        <f>AND(#REF!,"AAAAAB87/sM=")</f>
        <v>#REF!</v>
      </c>
      <c r="GO45" t="e">
        <f>AND(#REF!,"AAAAAB87/sQ=")</f>
        <v>#REF!</v>
      </c>
      <c r="GP45" t="e">
        <f>AND(#REF!,"AAAAAB87/sU=")</f>
        <v>#REF!</v>
      </c>
      <c r="GQ45" t="e">
        <f>AND(#REF!,"AAAAAB87/sY=")</f>
        <v>#REF!</v>
      </c>
      <c r="GR45" t="e">
        <f>AND(#REF!,"AAAAAB87/sc=")</f>
        <v>#REF!</v>
      </c>
      <c r="GS45" t="e">
        <f>AND(#REF!,"AAAAAB87/sg=")</f>
        <v>#REF!</v>
      </c>
      <c r="GT45" t="e">
        <f>AND(#REF!,"AAAAAB87/sk=")</f>
        <v>#REF!</v>
      </c>
      <c r="GU45" t="e">
        <f>AND(#REF!,"AAAAAB87/so=")</f>
        <v>#REF!</v>
      </c>
      <c r="GV45" t="e">
        <f>AND(#REF!,"AAAAAB87/ss=")</f>
        <v>#REF!</v>
      </c>
      <c r="GW45" t="e">
        <f>AND(#REF!,"AAAAAB87/sw=")</f>
        <v>#REF!</v>
      </c>
      <c r="GX45" t="e">
        <f>AND(#REF!,"AAAAAB87/s0=")</f>
        <v>#REF!</v>
      </c>
      <c r="GY45" t="e">
        <f>AND(#REF!,"AAAAAB87/s4=")</f>
        <v>#REF!</v>
      </c>
      <c r="GZ45" t="e">
        <f>AND(#REF!,"AAAAAB87/s8=")</f>
        <v>#REF!</v>
      </c>
      <c r="HA45" t="e">
        <f>AND(#REF!,"AAAAAB87/tA=")</f>
        <v>#REF!</v>
      </c>
      <c r="HB45" t="e">
        <f>AND(#REF!,"AAAAAB87/tE=")</f>
        <v>#REF!</v>
      </c>
      <c r="HC45" t="e">
        <f>AND(#REF!,"AAAAAB87/tI=")</f>
        <v>#REF!</v>
      </c>
      <c r="HD45" t="e">
        <f>AND(#REF!,"AAAAAB87/tM=")</f>
        <v>#REF!</v>
      </c>
      <c r="HE45" t="e">
        <f>AND(#REF!,"AAAAAB87/tQ=")</f>
        <v>#REF!</v>
      </c>
      <c r="HF45" t="e">
        <f>IF(#REF!,"AAAAAB87/tU=",0)</f>
        <v>#REF!</v>
      </c>
      <c r="HG45" t="e">
        <f>AND(#REF!,"AAAAAB87/tY=")</f>
        <v>#REF!</v>
      </c>
      <c r="HH45" t="e">
        <f>AND(#REF!,"AAAAAB87/tc=")</f>
        <v>#REF!</v>
      </c>
      <c r="HI45" t="e">
        <f>AND(#REF!,"AAAAAB87/tg=")</f>
        <v>#REF!</v>
      </c>
      <c r="HJ45" t="e">
        <f>AND(#REF!,"AAAAAB87/tk=")</f>
        <v>#REF!</v>
      </c>
      <c r="HK45" t="e">
        <f>AND(#REF!,"AAAAAB87/to=")</f>
        <v>#REF!</v>
      </c>
      <c r="HL45" t="e">
        <f>AND(#REF!,"AAAAAB87/ts=")</f>
        <v>#REF!</v>
      </c>
      <c r="HM45" t="e">
        <f>AND(#REF!,"AAAAAB87/tw=")</f>
        <v>#REF!</v>
      </c>
      <c r="HN45" t="e">
        <f>AND(#REF!,"AAAAAB87/t0=")</f>
        <v>#REF!</v>
      </c>
      <c r="HO45" t="e">
        <f>AND(#REF!,"AAAAAB87/t4=")</f>
        <v>#REF!</v>
      </c>
      <c r="HP45" t="e">
        <f>AND(#REF!,"AAAAAB87/t8=")</f>
        <v>#REF!</v>
      </c>
      <c r="HQ45" t="e">
        <f>AND(#REF!,"AAAAAB87/uA=")</f>
        <v>#REF!</v>
      </c>
      <c r="HR45" t="e">
        <f>AND(#REF!,"AAAAAB87/uE=")</f>
        <v>#REF!</v>
      </c>
      <c r="HS45" t="e">
        <f>AND(#REF!,"AAAAAB87/uI=")</f>
        <v>#REF!</v>
      </c>
      <c r="HT45" t="e">
        <f>AND(#REF!,"AAAAAB87/uM=")</f>
        <v>#REF!</v>
      </c>
      <c r="HU45" t="e">
        <f>AND(#REF!,"AAAAAB87/uQ=")</f>
        <v>#REF!</v>
      </c>
      <c r="HV45" t="e">
        <f>AND(#REF!,"AAAAAB87/uU=")</f>
        <v>#REF!</v>
      </c>
      <c r="HW45" t="e">
        <f>AND(#REF!,"AAAAAB87/uY=")</f>
        <v>#REF!</v>
      </c>
      <c r="HX45" t="e">
        <f>AND(#REF!,"AAAAAB87/uc=")</f>
        <v>#REF!</v>
      </c>
      <c r="HY45" t="e">
        <f>AND(#REF!,"AAAAAB87/ug=")</f>
        <v>#REF!</v>
      </c>
      <c r="HZ45" t="e">
        <f>AND(#REF!,"AAAAAB87/uk=")</f>
        <v>#REF!</v>
      </c>
      <c r="IA45" t="e">
        <f>AND(#REF!,"AAAAAB87/uo=")</f>
        <v>#REF!</v>
      </c>
      <c r="IB45" t="e">
        <f>AND(#REF!,"AAAAAB87/us=")</f>
        <v>#REF!</v>
      </c>
      <c r="IC45" t="e">
        <f>AND(#REF!,"AAAAAB87/uw=")</f>
        <v>#REF!</v>
      </c>
      <c r="ID45" t="e">
        <f>IF(#REF!,"AAAAAB87/u0=",0)</f>
        <v>#REF!</v>
      </c>
      <c r="IE45" t="e">
        <f>AND(#REF!,"AAAAAB87/u4=")</f>
        <v>#REF!</v>
      </c>
      <c r="IF45" t="e">
        <f>AND(#REF!,"AAAAAB87/u8=")</f>
        <v>#REF!</v>
      </c>
      <c r="IG45" t="e">
        <f>AND(#REF!,"AAAAAB87/vA=")</f>
        <v>#REF!</v>
      </c>
      <c r="IH45" t="e">
        <f>AND(#REF!,"AAAAAB87/vE=")</f>
        <v>#REF!</v>
      </c>
      <c r="II45" t="e">
        <f>AND(#REF!,"AAAAAB87/vI=")</f>
        <v>#REF!</v>
      </c>
      <c r="IJ45" t="e">
        <f>AND(#REF!,"AAAAAB87/vM=")</f>
        <v>#REF!</v>
      </c>
      <c r="IK45" t="e">
        <f>AND(#REF!,"AAAAAB87/vQ=")</f>
        <v>#REF!</v>
      </c>
      <c r="IL45" t="e">
        <f>AND(#REF!,"AAAAAB87/vU=")</f>
        <v>#REF!</v>
      </c>
      <c r="IM45" t="e">
        <f>AND(#REF!,"AAAAAB87/vY=")</f>
        <v>#REF!</v>
      </c>
      <c r="IN45" t="e">
        <f>AND(#REF!,"AAAAAB87/vc=")</f>
        <v>#REF!</v>
      </c>
      <c r="IO45" t="e">
        <f>AND(#REF!,"AAAAAB87/vg=")</f>
        <v>#REF!</v>
      </c>
      <c r="IP45" t="e">
        <f>AND(#REF!,"AAAAAB87/vk=")</f>
        <v>#REF!</v>
      </c>
      <c r="IQ45" t="e">
        <f>AND(#REF!,"AAAAAB87/vo=")</f>
        <v>#REF!</v>
      </c>
      <c r="IR45" t="e">
        <f>AND(#REF!,"AAAAAB87/vs=")</f>
        <v>#REF!</v>
      </c>
      <c r="IS45" t="e">
        <f>AND(#REF!,"AAAAAB87/vw=")</f>
        <v>#REF!</v>
      </c>
      <c r="IT45" t="e">
        <f>AND(#REF!,"AAAAAB87/v0=")</f>
        <v>#REF!</v>
      </c>
      <c r="IU45" t="e">
        <f>AND(#REF!,"AAAAAB87/v4=")</f>
        <v>#REF!</v>
      </c>
      <c r="IV45" t="e">
        <f>AND(#REF!,"AAAAAB87/v8=")</f>
        <v>#REF!</v>
      </c>
    </row>
    <row r="46" spans="1:256" x14ac:dyDescent="0.15">
      <c r="A46" t="e">
        <f>AND(#REF!,"AAAAAH8vvwA=")</f>
        <v>#REF!</v>
      </c>
      <c r="B46" t="e">
        <f>AND(#REF!,"AAAAAH8vvwE=")</f>
        <v>#REF!</v>
      </c>
      <c r="C46" t="e">
        <f>AND(#REF!,"AAAAAH8vvwI=")</f>
        <v>#REF!</v>
      </c>
      <c r="D46" t="e">
        <f>AND(#REF!,"AAAAAH8vvwM=")</f>
        <v>#REF!</v>
      </c>
      <c r="E46" t="e">
        <f>AND(#REF!,"AAAAAH8vvwQ=")</f>
        <v>#REF!</v>
      </c>
      <c r="F46" t="e">
        <f>IF(#REF!,"AAAAAH8vvwU=",0)</f>
        <v>#REF!</v>
      </c>
      <c r="G46" t="e">
        <f>AND(#REF!,"AAAAAH8vvwY=")</f>
        <v>#REF!</v>
      </c>
      <c r="H46" t="e">
        <f>AND(#REF!,"AAAAAH8vvwc=")</f>
        <v>#REF!</v>
      </c>
      <c r="I46" t="e">
        <f>AND(#REF!,"AAAAAH8vvwg=")</f>
        <v>#REF!</v>
      </c>
      <c r="J46" t="e">
        <f>AND(#REF!,"AAAAAH8vvwk=")</f>
        <v>#REF!</v>
      </c>
      <c r="K46" t="e">
        <f>AND(#REF!,"AAAAAH8vvwo=")</f>
        <v>#REF!</v>
      </c>
      <c r="L46" t="e">
        <f>AND(#REF!,"AAAAAH8vvws=")</f>
        <v>#REF!</v>
      </c>
      <c r="M46" t="e">
        <f>AND(#REF!,"AAAAAH8vvww=")</f>
        <v>#REF!</v>
      </c>
      <c r="N46" t="e">
        <f>AND(#REF!,"AAAAAH8vvw0=")</f>
        <v>#REF!</v>
      </c>
      <c r="O46" t="e">
        <f>AND(#REF!,"AAAAAH8vvw4=")</f>
        <v>#REF!</v>
      </c>
      <c r="P46" t="e">
        <f>AND(#REF!,"AAAAAH8vvw8=")</f>
        <v>#REF!</v>
      </c>
      <c r="Q46" t="e">
        <f>AND(#REF!,"AAAAAH8vvxA=")</f>
        <v>#REF!</v>
      </c>
      <c r="R46" t="e">
        <f>AND(#REF!,"AAAAAH8vvxE=")</f>
        <v>#REF!</v>
      </c>
      <c r="S46" t="e">
        <f>AND(#REF!,"AAAAAH8vvxI=")</f>
        <v>#REF!</v>
      </c>
      <c r="T46" t="e">
        <f>AND(#REF!,"AAAAAH8vvxM=")</f>
        <v>#REF!</v>
      </c>
      <c r="U46" t="e">
        <f>AND(#REF!,"AAAAAH8vvxQ=")</f>
        <v>#REF!</v>
      </c>
      <c r="V46" t="e">
        <f>AND(#REF!,"AAAAAH8vvxU=")</f>
        <v>#REF!</v>
      </c>
      <c r="W46" t="e">
        <f>AND(#REF!,"AAAAAH8vvxY=")</f>
        <v>#REF!</v>
      </c>
      <c r="X46" t="e">
        <f>AND(#REF!,"AAAAAH8vvxc=")</f>
        <v>#REF!</v>
      </c>
      <c r="Y46" t="e">
        <f>AND(#REF!,"AAAAAH8vvxg=")</f>
        <v>#REF!</v>
      </c>
      <c r="Z46" t="e">
        <f>AND(#REF!,"AAAAAH8vvxk=")</f>
        <v>#REF!</v>
      </c>
      <c r="AA46" t="e">
        <f>AND(#REF!,"AAAAAH8vvxo=")</f>
        <v>#REF!</v>
      </c>
      <c r="AB46" t="e">
        <f>AND(#REF!,"AAAAAH8vvxs=")</f>
        <v>#REF!</v>
      </c>
      <c r="AC46" t="e">
        <f>AND(#REF!,"AAAAAH8vvxw=")</f>
        <v>#REF!</v>
      </c>
      <c r="AD46" t="e">
        <f>IF(#REF!,"AAAAAH8vvx0=",0)</f>
        <v>#REF!</v>
      </c>
      <c r="AE46" t="e">
        <f>AND(#REF!,"AAAAAH8vvx4=")</f>
        <v>#REF!</v>
      </c>
      <c r="AF46" t="e">
        <f>AND(#REF!,"AAAAAH8vvx8=")</f>
        <v>#REF!</v>
      </c>
      <c r="AG46" t="e">
        <f>AND(#REF!,"AAAAAH8vvyA=")</f>
        <v>#REF!</v>
      </c>
      <c r="AH46" t="e">
        <f>AND(#REF!,"AAAAAH8vvyE=")</f>
        <v>#REF!</v>
      </c>
      <c r="AI46" t="e">
        <f>AND(#REF!,"AAAAAH8vvyI=")</f>
        <v>#REF!</v>
      </c>
      <c r="AJ46" t="e">
        <f>AND(#REF!,"AAAAAH8vvyM=")</f>
        <v>#REF!</v>
      </c>
      <c r="AK46" t="e">
        <f>AND(#REF!,"AAAAAH8vvyQ=")</f>
        <v>#REF!</v>
      </c>
      <c r="AL46" t="e">
        <f>AND(#REF!,"AAAAAH8vvyU=")</f>
        <v>#REF!</v>
      </c>
      <c r="AM46" t="e">
        <f>AND(#REF!,"AAAAAH8vvyY=")</f>
        <v>#REF!</v>
      </c>
      <c r="AN46" t="e">
        <f>AND(#REF!,"AAAAAH8vvyc=")</f>
        <v>#REF!</v>
      </c>
      <c r="AO46" t="e">
        <f>AND(#REF!,"AAAAAH8vvyg=")</f>
        <v>#REF!</v>
      </c>
      <c r="AP46" t="e">
        <f>AND(#REF!,"AAAAAH8vvyk=")</f>
        <v>#REF!</v>
      </c>
      <c r="AQ46" t="e">
        <f>AND(#REF!,"AAAAAH8vvyo=")</f>
        <v>#REF!</v>
      </c>
      <c r="AR46" t="e">
        <f>AND(#REF!,"AAAAAH8vvys=")</f>
        <v>#REF!</v>
      </c>
      <c r="AS46" t="e">
        <f>AND(#REF!,"AAAAAH8vvyw=")</f>
        <v>#REF!</v>
      </c>
      <c r="AT46" t="e">
        <f>AND(#REF!,"AAAAAH8vvy0=")</f>
        <v>#REF!</v>
      </c>
      <c r="AU46" t="e">
        <f>AND(#REF!,"AAAAAH8vvy4=")</f>
        <v>#REF!</v>
      </c>
      <c r="AV46" t="e">
        <f>AND(#REF!,"AAAAAH8vvy8=")</f>
        <v>#REF!</v>
      </c>
      <c r="AW46" t="e">
        <f>AND(#REF!,"AAAAAH8vvzA=")</f>
        <v>#REF!</v>
      </c>
      <c r="AX46" t="e">
        <f>AND(#REF!,"AAAAAH8vvzE=")</f>
        <v>#REF!</v>
      </c>
      <c r="AY46" t="e">
        <f>AND(#REF!,"AAAAAH8vvzI=")</f>
        <v>#REF!</v>
      </c>
      <c r="AZ46" t="e">
        <f>AND(#REF!,"AAAAAH8vvzM=")</f>
        <v>#REF!</v>
      </c>
      <c r="BA46" t="e">
        <f>AND(#REF!,"AAAAAH8vvzQ=")</f>
        <v>#REF!</v>
      </c>
      <c r="BB46" t="e">
        <f>IF(#REF!,"AAAAAH8vvzU=",0)</f>
        <v>#REF!</v>
      </c>
      <c r="BC46" t="e">
        <f>AND(#REF!,"AAAAAH8vvzY=")</f>
        <v>#REF!</v>
      </c>
      <c r="BD46" t="e">
        <f>AND(#REF!,"AAAAAH8vvzc=")</f>
        <v>#REF!</v>
      </c>
      <c r="BE46" t="e">
        <f>AND(#REF!,"AAAAAH8vvzg=")</f>
        <v>#REF!</v>
      </c>
      <c r="BF46" t="e">
        <f>AND(#REF!,"AAAAAH8vvzk=")</f>
        <v>#REF!</v>
      </c>
      <c r="BG46" t="e">
        <f>AND(#REF!,"AAAAAH8vvzo=")</f>
        <v>#REF!</v>
      </c>
      <c r="BH46" t="e">
        <f>AND(#REF!,"AAAAAH8vvzs=")</f>
        <v>#REF!</v>
      </c>
      <c r="BI46" t="e">
        <f>AND(#REF!,"AAAAAH8vvzw=")</f>
        <v>#REF!</v>
      </c>
      <c r="BJ46" t="e">
        <f>AND(#REF!,"AAAAAH8vvz0=")</f>
        <v>#REF!</v>
      </c>
      <c r="BK46" t="e">
        <f>AND(#REF!,"AAAAAH8vvz4=")</f>
        <v>#REF!</v>
      </c>
      <c r="BL46" t="e">
        <f>AND(#REF!,"AAAAAH8vvz8=")</f>
        <v>#REF!</v>
      </c>
      <c r="BM46" t="e">
        <f>AND(#REF!,"AAAAAH8vv0A=")</f>
        <v>#REF!</v>
      </c>
      <c r="BN46" t="e">
        <f>AND(#REF!,"AAAAAH8vv0E=")</f>
        <v>#REF!</v>
      </c>
      <c r="BO46" t="e">
        <f>AND(#REF!,"AAAAAH8vv0I=")</f>
        <v>#REF!</v>
      </c>
      <c r="BP46" t="e">
        <f>AND(#REF!,"AAAAAH8vv0M=")</f>
        <v>#REF!</v>
      </c>
      <c r="BQ46" t="e">
        <f>AND(#REF!,"AAAAAH8vv0Q=")</f>
        <v>#REF!</v>
      </c>
      <c r="BR46" t="e">
        <f>AND(#REF!,"AAAAAH8vv0U=")</f>
        <v>#REF!</v>
      </c>
      <c r="BS46" t="e">
        <f>AND(#REF!,"AAAAAH8vv0Y=")</f>
        <v>#REF!</v>
      </c>
      <c r="BT46" t="e">
        <f>AND(#REF!,"AAAAAH8vv0c=")</f>
        <v>#REF!</v>
      </c>
      <c r="BU46" t="e">
        <f>AND(#REF!,"AAAAAH8vv0g=")</f>
        <v>#REF!</v>
      </c>
      <c r="BV46" t="e">
        <f>AND(#REF!,"AAAAAH8vv0k=")</f>
        <v>#REF!</v>
      </c>
      <c r="BW46" t="e">
        <f>AND(#REF!,"AAAAAH8vv0o=")</f>
        <v>#REF!</v>
      </c>
      <c r="BX46" t="e">
        <f>AND(#REF!,"AAAAAH8vv0s=")</f>
        <v>#REF!</v>
      </c>
      <c r="BY46" t="e">
        <f>AND(#REF!,"AAAAAH8vv0w=")</f>
        <v>#REF!</v>
      </c>
      <c r="BZ46" t="e">
        <f>IF(#REF!,"AAAAAH8vv00=",0)</f>
        <v>#REF!</v>
      </c>
      <c r="CA46" t="e">
        <f>AND(#REF!,"AAAAAH8vv04=")</f>
        <v>#REF!</v>
      </c>
      <c r="CB46" t="e">
        <f>AND(#REF!,"AAAAAH8vv08=")</f>
        <v>#REF!</v>
      </c>
      <c r="CC46" t="e">
        <f>AND(#REF!,"AAAAAH8vv1A=")</f>
        <v>#REF!</v>
      </c>
      <c r="CD46" t="e">
        <f>AND(#REF!,"AAAAAH8vv1E=")</f>
        <v>#REF!</v>
      </c>
      <c r="CE46" t="e">
        <f>AND(#REF!,"AAAAAH8vv1I=")</f>
        <v>#REF!</v>
      </c>
      <c r="CF46" t="e">
        <f>AND(#REF!,"AAAAAH8vv1M=")</f>
        <v>#REF!</v>
      </c>
      <c r="CG46" t="e">
        <f>AND(#REF!,"AAAAAH8vv1Q=")</f>
        <v>#REF!</v>
      </c>
      <c r="CH46" t="e">
        <f>AND(#REF!,"AAAAAH8vv1U=")</f>
        <v>#REF!</v>
      </c>
      <c r="CI46" t="e">
        <f>AND(#REF!,"AAAAAH8vv1Y=")</f>
        <v>#REF!</v>
      </c>
      <c r="CJ46" t="e">
        <f>AND(#REF!,"AAAAAH8vv1c=")</f>
        <v>#REF!</v>
      </c>
      <c r="CK46" t="e">
        <f>AND(#REF!,"AAAAAH8vv1g=")</f>
        <v>#REF!</v>
      </c>
      <c r="CL46" t="e">
        <f>AND(#REF!,"AAAAAH8vv1k=")</f>
        <v>#REF!</v>
      </c>
      <c r="CM46" t="e">
        <f>AND(#REF!,"AAAAAH8vv1o=")</f>
        <v>#REF!</v>
      </c>
      <c r="CN46" t="e">
        <f>AND(#REF!,"AAAAAH8vv1s=")</f>
        <v>#REF!</v>
      </c>
      <c r="CO46" t="e">
        <f>AND(#REF!,"AAAAAH8vv1w=")</f>
        <v>#REF!</v>
      </c>
      <c r="CP46" t="e">
        <f>AND(#REF!,"AAAAAH8vv10=")</f>
        <v>#REF!</v>
      </c>
      <c r="CQ46" t="e">
        <f>AND(#REF!,"AAAAAH8vv14=")</f>
        <v>#REF!</v>
      </c>
      <c r="CR46" t="e">
        <f>AND(#REF!,"AAAAAH8vv18=")</f>
        <v>#REF!</v>
      </c>
      <c r="CS46" t="e">
        <f>AND(#REF!,"AAAAAH8vv2A=")</f>
        <v>#REF!</v>
      </c>
      <c r="CT46" t="e">
        <f>AND(#REF!,"AAAAAH8vv2E=")</f>
        <v>#REF!</v>
      </c>
      <c r="CU46" t="e">
        <f>AND(#REF!,"AAAAAH8vv2I=")</f>
        <v>#REF!</v>
      </c>
      <c r="CV46" t="e">
        <f>AND(#REF!,"AAAAAH8vv2M=")</f>
        <v>#REF!</v>
      </c>
      <c r="CW46" t="e">
        <f>AND(#REF!,"AAAAAH8vv2Q=")</f>
        <v>#REF!</v>
      </c>
      <c r="CX46" t="e">
        <f>IF(#REF!,"AAAAAH8vv2U=",0)</f>
        <v>#REF!</v>
      </c>
      <c r="CY46" t="e">
        <f>AND(#REF!,"AAAAAH8vv2Y=")</f>
        <v>#REF!</v>
      </c>
      <c r="CZ46" t="e">
        <f>AND(#REF!,"AAAAAH8vv2c=")</f>
        <v>#REF!</v>
      </c>
      <c r="DA46" t="e">
        <f>AND(#REF!,"AAAAAH8vv2g=")</f>
        <v>#REF!</v>
      </c>
      <c r="DB46" t="e">
        <f>AND(#REF!,"AAAAAH8vv2k=")</f>
        <v>#REF!</v>
      </c>
      <c r="DC46" t="e">
        <f>AND(#REF!,"AAAAAH8vv2o=")</f>
        <v>#REF!</v>
      </c>
      <c r="DD46" t="e">
        <f>AND(#REF!,"AAAAAH8vv2s=")</f>
        <v>#REF!</v>
      </c>
      <c r="DE46" t="e">
        <f>AND(#REF!,"AAAAAH8vv2w=")</f>
        <v>#REF!</v>
      </c>
      <c r="DF46" t="e">
        <f>AND(#REF!,"AAAAAH8vv20=")</f>
        <v>#REF!</v>
      </c>
      <c r="DG46" t="e">
        <f>AND(#REF!,"AAAAAH8vv24=")</f>
        <v>#REF!</v>
      </c>
      <c r="DH46" t="e">
        <f>AND(#REF!,"AAAAAH8vv28=")</f>
        <v>#REF!</v>
      </c>
      <c r="DI46" t="e">
        <f>AND(#REF!,"AAAAAH8vv3A=")</f>
        <v>#REF!</v>
      </c>
      <c r="DJ46" t="e">
        <f>AND(#REF!,"AAAAAH8vv3E=")</f>
        <v>#REF!</v>
      </c>
      <c r="DK46" t="e">
        <f>AND(#REF!,"AAAAAH8vv3I=")</f>
        <v>#REF!</v>
      </c>
      <c r="DL46" t="e">
        <f>AND(#REF!,"AAAAAH8vv3M=")</f>
        <v>#REF!</v>
      </c>
      <c r="DM46" t="e">
        <f>AND(#REF!,"AAAAAH8vv3Q=")</f>
        <v>#REF!</v>
      </c>
      <c r="DN46" t="e">
        <f>AND(#REF!,"AAAAAH8vv3U=")</f>
        <v>#REF!</v>
      </c>
      <c r="DO46" t="e">
        <f>AND(#REF!,"AAAAAH8vv3Y=")</f>
        <v>#REF!</v>
      </c>
      <c r="DP46" t="e">
        <f>AND(#REF!,"AAAAAH8vv3c=")</f>
        <v>#REF!</v>
      </c>
      <c r="DQ46" t="e">
        <f>AND(#REF!,"AAAAAH8vv3g=")</f>
        <v>#REF!</v>
      </c>
      <c r="DR46" t="e">
        <f>AND(#REF!,"AAAAAH8vv3k=")</f>
        <v>#REF!</v>
      </c>
      <c r="DS46" t="e">
        <f>AND(#REF!,"AAAAAH8vv3o=")</f>
        <v>#REF!</v>
      </c>
      <c r="DT46" t="e">
        <f>AND(#REF!,"AAAAAH8vv3s=")</f>
        <v>#REF!</v>
      </c>
      <c r="DU46" t="e">
        <f>AND(#REF!,"AAAAAH8vv3w=")</f>
        <v>#REF!</v>
      </c>
      <c r="DV46" t="e">
        <f>IF(#REF!,"AAAAAH8vv30=",0)</f>
        <v>#REF!</v>
      </c>
      <c r="DW46" t="e">
        <f>AND(#REF!,"AAAAAH8vv34=")</f>
        <v>#REF!</v>
      </c>
      <c r="DX46" t="e">
        <f>AND(#REF!,"AAAAAH8vv38=")</f>
        <v>#REF!</v>
      </c>
      <c r="DY46" t="e">
        <f>AND(#REF!,"AAAAAH8vv4A=")</f>
        <v>#REF!</v>
      </c>
      <c r="DZ46" t="e">
        <f>AND(#REF!,"AAAAAH8vv4E=")</f>
        <v>#REF!</v>
      </c>
      <c r="EA46" t="e">
        <f>AND(#REF!,"AAAAAH8vv4I=")</f>
        <v>#REF!</v>
      </c>
      <c r="EB46" t="e">
        <f>AND(#REF!,"AAAAAH8vv4M=")</f>
        <v>#REF!</v>
      </c>
      <c r="EC46" t="e">
        <f>AND(#REF!,"AAAAAH8vv4Q=")</f>
        <v>#REF!</v>
      </c>
      <c r="ED46" t="e">
        <f>AND(#REF!,"AAAAAH8vv4U=")</f>
        <v>#REF!</v>
      </c>
      <c r="EE46" t="e">
        <f>AND(#REF!,"AAAAAH8vv4Y=")</f>
        <v>#REF!</v>
      </c>
      <c r="EF46" t="e">
        <f>AND(#REF!,"AAAAAH8vv4c=")</f>
        <v>#REF!</v>
      </c>
      <c r="EG46" t="e">
        <f>AND(#REF!,"AAAAAH8vv4g=")</f>
        <v>#REF!</v>
      </c>
      <c r="EH46" t="e">
        <f>AND(#REF!,"AAAAAH8vv4k=")</f>
        <v>#REF!</v>
      </c>
      <c r="EI46" t="e">
        <f>AND(#REF!,"AAAAAH8vv4o=")</f>
        <v>#REF!</v>
      </c>
      <c r="EJ46" t="e">
        <f>AND(#REF!,"AAAAAH8vv4s=")</f>
        <v>#REF!</v>
      </c>
      <c r="EK46" t="e">
        <f>AND(#REF!,"AAAAAH8vv4w=")</f>
        <v>#REF!</v>
      </c>
      <c r="EL46" t="e">
        <f>AND(#REF!,"AAAAAH8vv40=")</f>
        <v>#REF!</v>
      </c>
      <c r="EM46" t="e">
        <f>AND(#REF!,"AAAAAH8vv44=")</f>
        <v>#REF!</v>
      </c>
      <c r="EN46" t="e">
        <f>AND(#REF!,"AAAAAH8vv48=")</f>
        <v>#REF!</v>
      </c>
      <c r="EO46" t="e">
        <f>AND(#REF!,"AAAAAH8vv5A=")</f>
        <v>#REF!</v>
      </c>
      <c r="EP46" t="e">
        <f>AND(#REF!,"AAAAAH8vv5E=")</f>
        <v>#REF!</v>
      </c>
      <c r="EQ46" t="e">
        <f>AND(#REF!,"AAAAAH8vv5I=")</f>
        <v>#REF!</v>
      </c>
      <c r="ER46" t="e">
        <f>AND(#REF!,"AAAAAH8vv5M=")</f>
        <v>#REF!</v>
      </c>
      <c r="ES46" t="e">
        <f>AND(#REF!,"AAAAAH8vv5Q=")</f>
        <v>#REF!</v>
      </c>
      <c r="ET46" t="e">
        <f>IF(#REF!,"AAAAAH8vv5U=",0)</f>
        <v>#REF!</v>
      </c>
      <c r="EU46" t="e">
        <f>AND(#REF!,"AAAAAH8vv5Y=")</f>
        <v>#REF!</v>
      </c>
      <c r="EV46" t="e">
        <f>AND(#REF!,"AAAAAH8vv5c=")</f>
        <v>#REF!</v>
      </c>
      <c r="EW46" t="e">
        <f>AND(#REF!,"AAAAAH8vv5g=")</f>
        <v>#REF!</v>
      </c>
      <c r="EX46" t="e">
        <f>AND(#REF!,"AAAAAH8vv5k=")</f>
        <v>#REF!</v>
      </c>
      <c r="EY46" t="e">
        <f>AND(#REF!,"AAAAAH8vv5o=")</f>
        <v>#REF!</v>
      </c>
      <c r="EZ46" t="e">
        <f>AND(#REF!,"AAAAAH8vv5s=")</f>
        <v>#REF!</v>
      </c>
      <c r="FA46" t="e">
        <f>AND(#REF!,"AAAAAH8vv5w=")</f>
        <v>#REF!</v>
      </c>
      <c r="FB46" t="e">
        <f>AND(#REF!,"AAAAAH8vv50=")</f>
        <v>#REF!</v>
      </c>
      <c r="FC46" t="e">
        <f>AND(#REF!,"AAAAAH8vv54=")</f>
        <v>#REF!</v>
      </c>
      <c r="FD46" t="e">
        <f>AND(#REF!,"AAAAAH8vv58=")</f>
        <v>#REF!</v>
      </c>
      <c r="FE46" t="e">
        <f>AND(#REF!,"AAAAAH8vv6A=")</f>
        <v>#REF!</v>
      </c>
      <c r="FF46" t="e">
        <f>AND(#REF!,"AAAAAH8vv6E=")</f>
        <v>#REF!</v>
      </c>
      <c r="FG46" t="e">
        <f>AND(#REF!,"AAAAAH8vv6I=")</f>
        <v>#REF!</v>
      </c>
      <c r="FH46" t="e">
        <f>AND(#REF!,"AAAAAH8vv6M=")</f>
        <v>#REF!</v>
      </c>
      <c r="FI46" t="e">
        <f>AND(#REF!,"AAAAAH8vv6Q=")</f>
        <v>#REF!</v>
      </c>
      <c r="FJ46" t="e">
        <f>AND(#REF!,"AAAAAH8vv6U=")</f>
        <v>#REF!</v>
      </c>
      <c r="FK46" t="e">
        <f>AND(#REF!,"AAAAAH8vv6Y=")</f>
        <v>#REF!</v>
      </c>
      <c r="FL46" t="e">
        <f>AND(#REF!,"AAAAAH8vv6c=")</f>
        <v>#REF!</v>
      </c>
      <c r="FM46" t="e">
        <f>AND(#REF!,"AAAAAH8vv6g=")</f>
        <v>#REF!</v>
      </c>
      <c r="FN46" t="e">
        <f>AND(#REF!,"AAAAAH8vv6k=")</f>
        <v>#REF!</v>
      </c>
      <c r="FO46" t="e">
        <f>AND(#REF!,"AAAAAH8vv6o=")</f>
        <v>#REF!</v>
      </c>
      <c r="FP46" t="e">
        <f>AND(#REF!,"AAAAAH8vv6s=")</f>
        <v>#REF!</v>
      </c>
      <c r="FQ46" t="e">
        <f>AND(#REF!,"AAAAAH8vv6w=")</f>
        <v>#REF!</v>
      </c>
      <c r="FR46" t="e">
        <f>IF(#REF!,"AAAAAH8vv60=",0)</f>
        <v>#REF!</v>
      </c>
      <c r="FS46" t="e">
        <f>AND(#REF!,"AAAAAH8vv64=")</f>
        <v>#REF!</v>
      </c>
      <c r="FT46" t="e">
        <f>AND(#REF!,"AAAAAH8vv68=")</f>
        <v>#REF!</v>
      </c>
      <c r="FU46" t="e">
        <f>AND(#REF!,"AAAAAH8vv7A=")</f>
        <v>#REF!</v>
      </c>
      <c r="FV46" t="e">
        <f>AND(#REF!,"AAAAAH8vv7E=")</f>
        <v>#REF!</v>
      </c>
      <c r="FW46" t="e">
        <f>AND(#REF!,"AAAAAH8vv7I=")</f>
        <v>#REF!</v>
      </c>
      <c r="FX46" t="e">
        <f>AND(#REF!,"AAAAAH8vv7M=")</f>
        <v>#REF!</v>
      </c>
      <c r="FY46" t="e">
        <f>AND(#REF!,"AAAAAH8vv7Q=")</f>
        <v>#REF!</v>
      </c>
      <c r="FZ46" t="e">
        <f>AND(#REF!,"AAAAAH8vv7U=")</f>
        <v>#REF!</v>
      </c>
      <c r="GA46" t="e">
        <f>AND(#REF!,"AAAAAH8vv7Y=")</f>
        <v>#REF!</v>
      </c>
      <c r="GB46" t="e">
        <f>AND(#REF!,"AAAAAH8vv7c=")</f>
        <v>#REF!</v>
      </c>
      <c r="GC46" t="e">
        <f>AND(#REF!,"AAAAAH8vv7g=")</f>
        <v>#REF!</v>
      </c>
      <c r="GD46" t="e">
        <f>AND(#REF!,"AAAAAH8vv7k=")</f>
        <v>#REF!</v>
      </c>
      <c r="GE46" t="e">
        <f>AND(#REF!,"AAAAAH8vv7o=")</f>
        <v>#REF!</v>
      </c>
      <c r="GF46" t="e">
        <f>AND(#REF!,"AAAAAH8vv7s=")</f>
        <v>#REF!</v>
      </c>
      <c r="GG46" t="e">
        <f>AND(#REF!,"AAAAAH8vv7w=")</f>
        <v>#REF!</v>
      </c>
      <c r="GH46" t="e">
        <f>AND(#REF!,"AAAAAH8vv70=")</f>
        <v>#REF!</v>
      </c>
      <c r="GI46" t="e">
        <f>AND(#REF!,"AAAAAH8vv74=")</f>
        <v>#REF!</v>
      </c>
      <c r="GJ46" t="e">
        <f>AND(#REF!,"AAAAAH8vv78=")</f>
        <v>#REF!</v>
      </c>
      <c r="GK46" t="e">
        <f>AND(#REF!,"AAAAAH8vv8A=")</f>
        <v>#REF!</v>
      </c>
      <c r="GL46" t="e">
        <f>AND(#REF!,"AAAAAH8vv8E=")</f>
        <v>#REF!</v>
      </c>
      <c r="GM46" t="e">
        <f>AND(#REF!,"AAAAAH8vv8I=")</f>
        <v>#REF!</v>
      </c>
      <c r="GN46" t="e">
        <f>AND(#REF!,"AAAAAH8vv8M=")</f>
        <v>#REF!</v>
      </c>
      <c r="GO46" t="e">
        <f>AND(#REF!,"AAAAAH8vv8Q=")</f>
        <v>#REF!</v>
      </c>
      <c r="GP46" t="e">
        <f>IF(#REF!,"AAAAAH8vv8U=",0)</f>
        <v>#REF!</v>
      </c>
      <c r="GQ46" t="e">
        <f>AND(#REF!,"AAAAAH8vv8Y=")</f>
        <v>#REF!</v>
      </c>
      <c r="GR46" t="e">
        <f>AND(#REF!,"AAAAAH8vv8c=")</f>
        <v>#REF!</v>
      </c>
      <c r="GS46" t="e">
        <f>AND(#REF!,"AAAAAH8vv8g=")</f>
        <v>#REF!</v>
      </c>
      <c r="GT46" t="e">
        <f>AND(#REF!,"AAAAAH8vv8k=")</f>
        <v>#REF!</v>
      </c>
      <c r="GU46" t="e">
        <f>AND(#REF!,"AAAAAH8vv8o=")</f>
        <v>#REF!</v>
      </c>
      <c r="GV46" t="e">
        <f>AND(#REF!,"AAAAAH8vv8s=")</f>
        <v>#REF!</v>
      </c>
      <c r="GW46" t="e">
        <f>AND(#REF!,"AAAAAH8vv8w=")</f>
        <v>#REF!</v>
      </c>
      <c r="GX46" t="e">
        <f>AND(#REF!,"AAAAAH8vv80=")</f>
        <v>#REF!</v>
      </c>
      <c r="GY46" t="e">
        <f>AND(#REF!,"AAAAAH8vv84=")</f>
        <v>#REF!</v>
      </c>
      <c r="GZ46" t="e">
        <f>AND(#REF!,"AAAAAH8vv88=")</f>
        <v>#REF!</v>
      </c>
      <c r="HA46" t="e">
        <f>AND(#REF!,"AAAAAH8vv9A=")</f>
        <v>#REF!</v>
      </c>
      <c r="HB46" t="e">
        <f>AND(#REF!,"AAAAAH8vv9E=")</f>
        <v>#REF!</v>
      </c>
      <c r="HC46" t="e">
        <f>AND(#REF!,"AAAAAH8vv9I=")</f>
        <v>#REF!</v>
      </c>
      <c r="HD46" t="e">
        <f>AND(#REF!,"AAAAAH8vv9M=")</f>
        <v>#REF!</v>
      </c>
      <c r="HE46" t="e">
        <f>AND(#REF!,"AAAAAH8vv9Q=")</f>
        <v>#REF!</v>
      </c>
      <c r="HF46" t="e">
        <f>AND(#REF!,"AAAAAH8vv9U=")</f>
        <v>#REF!</v>
      </c>
      <c r="HG46" t="e">
        <f>AND(#REF!,"AAAAAH8vv9Y=")</f>
        <v>#REF!</v>
      </c>
      <c r="HH46" t="e">
        <f>AND(#REF!,"AAAAAH8vv9c=")</f>
        <v>#REF!</v>
      </c>
      <c r="HI46" t="e">
        <f>AND(#REF!,"AAAAAH8vv9g=")</f>
        <v>#REF!</v>
      </c>
      <c r="HJ46" t="e">
        <f>AND(#REF!,"AAAAAH8vv9k=")</f>
        <v>#REF!</v>
      </c>
      <c r="HK46" t="e">
        <f>AND(#REF!,"AAAAAH8vv9o=")</f>
        <v>#REF!</v>
      </c>
      <c r="HL46" t="e">
        <f>AND(#REF!,"AAAAAH8vv9s=")</f>
        <v>#REF!</v>
      </c>
      <c r="HM46" t="e">
        <f>AND(#REF!,"AAAAAH8vv9w=")</f>
        <v>#REF!</v>
      </c>
      <c r="HN46" t="e">
        <f>IF(#REF!,"AAAAAH8vv90=",0)</f>
        <v>#REF!</v>
      </c>
      <c r="HO46" t="e">
        <f>AND(#REF!,"AAAAAH8vv94=")</f>
        <v>#REF!</v>
      </c>
      <c r="HP46" t="e">
        <f>AND(#REF!,"AAAAAH8vv98=")</f>
        <v>#REF!</v>
      </c>
      <c r="HQ46" t="e">
        <f>AND(#REF!,"AAAAAH8vv+A=")</f>
        <v>#REF!</v>
      </c>
      <c r="HR46" t="e">
        <f>AND(#REF!,"AAAAAH8vv+E=")</f>
        <v>#REF!</v>
      </c>
      <c r="HS46" t="e">
        <f>AND(#REF!,"AAAAAH8vv+I=")</f>
        <v>#REF!</v>
      </c>
      <c r="HT46" t="e">
        <f>AND(#REF!,"AAAAAH8vv+M=")</f>
        <v>#REF!</v>
      </c>
      <c r="HU46" t="e">
        <f>AND(#REF!,"AAAAAH8vv+Q=")</f>
        <v>#REF!</v>
      </c>
      <c r="HV46" t="e">
        <f>AND(#REF!,"AAAAAH8vv+U=")</f>
        <v>#REF!</v>
      </c>
      <c r="HW46" t="e">
        <f>AND(#REF!,"AAAAAH8vv+Y=")</f>
        <v>#REF!</v>
      </c>
      <c r="HX46" t="e">
        <f>AND(#REF!,"AAAAAH8vv+c=")</f>
        <v>#REF!</v>
      </c>
      <c r="HY46" t="e">
        <f>AND(#REF!,"AAAAAH8vv+g=")</f>
        <v>#REF!</v>
      </c>
      <c r="HZ46" t="e">
        <f>AND(#REF!,"AAAAAH8vv+k=")</f>
        <v>#REF!</v>
      </c>
      <c r="IA46" t="e">
        <f>AND(#REF!,"AAAAAH8vv+o=")</f>
        <v>#REF!</v>
      </c>
      <c r="IB46" t="e">
        <f>AND(#REF!,"AAAAAH8vv+s=")</f>
        <v>#REF!</v>
      </c>
      <c r="IC46" t="e">
        <f>AND(#REF!,"AAAAAH8vv+w=")</f>
        <v>#REF!</v>
      </c>
      <c r="ID46" t="e">
        <f>AND(#REF!,"AAAAAH8vv+0=")</f>
        <v>#REF!</v>
      </c>
      <c r="IE46" t="e">
        <f>AND(#REF!,"AAAAAH8vv+4=")</f>
        <v>#REF!</v>
      </c>
      <c r="IF46" t="e">
        <f>AND(#REF!,"AAAAAH8vv+8=")</f>
        <v>#REF!</v>
      </c>
      <c r="IG46" t="e">
        <f>AND(#REF!,"AAAAAH8vv/A=")</f>
        <v>#REF!</v>
      </c>
      <c r="IH46" t="e">
        <f>AND(#REF!,"AAAAAH8vv/E=")</f>
        <v>#REF!</v>
      </c>
      <c r="II46" t="e">
        <f>AND(#REF!,"AAAAAH8vv/I=")</f>
        <v>#REF!</v>
      </c>
      <c r="IJ46" t="e">
        <f>AND(#REF!,"AAAAAH8vv/M=")</f>
        <v>#REF!</v>
      </c>
      <c r="IK46" t="e">
        <f>AND(#REF!,"AAAAAH8vv/Q=")</f>
        <v>#REF!</v>
      </c>
      <c r="IL46" t="e">
        <f>IF(#REF!,"AAAAAH8vv/U=",0)</f>
        <v>#REF!</v>
      </c>
      <c r="IM46" t="e">
        <f>AND(#REF!,"AAAAAH8vv/Y=")</f>
        <v>#REF!</v>
      </c>
      <c r="IN46" t="e">
        <f>AND(#REF!,"AAAAAH8vv/c=")</f>
        <v>#REF!</v>
      </c>
      <c r="IO46" t="e">
        <f>AND(#REF!,"AAAAAH8vv/g=")</f>
        <v>#REF!</v>
      </c>
      <c r="IP46" t="e">
        <f>AND(#REF!,"AAAAAH8vv/k=")</f>
        <v>#REF!</v>
      </c>
      <c r="IQ46" t="e">
        <f>AND(#REF!,"AAAAAH8vv/o=")</f>
        <v>#REF!</v>
      </c>
      <c r="IR46" t="e">
        <f>AND(#REF!,"AAAAAH8vv/s=")</f>
        <v>#REF!</v>
      </c>
      <c r="IS46" t="e">
        <f>AND(#REF!,"AAAAAH8vv/w=")</f>
        <v>#REF!</v>
      </c>
      <c r="IT46" t="e">
        <f>AND(#REF!,"AAAAAH8vv/0=")</f>
        <v>#REF!</v>
      </c>
      <c r="IU46" t="e">
        <f>AND(#REF!,"AAAAAH8vv/4=")</f>
        <v>#REF!</v>
      </c>
      <c r="IV46" t="e">
        <f>AND(#REF!,"AAAAAH8vv/8=")</f>
        <v>#REF!</v>
      </c>
    </row>
    <row r="47" spans="1:256" x14ac:dyDescent="0.15">
      <c r="A47" t="e">
        <f>AND(#REF!,"AAAAAFv7bwA=")</f>
        <v>#REF!</v>
      </c>
      <c r="B47" t="e">
        <f>AND(#REF!,"AAAAAFv7bwE=")</f>
        <v>#REF!</v>
      </c>
      <c r="C47" t="e">
        <f>AND(#REF!,"AAAAAFv7bwI=")</f>
        <v>#REF!</v>
      </c>
      <c r="D47" t="e">
        <f>AND(#REF!,"AAAAAFv7bwM=")</f>
        <v>#REF!</v>
      </c>
      <c r="E47" t="e">
        <f>AND(#REF!,"AAAAAFv7bwQ=")</f>
        <v>#REF!</v>
      </c>
      <c r="F47" t="e">
        <f>AND(#REF!,"AAAAAFv7bwU=")</f>
        <v>#REF!</v>
      </c>
      <c r="G47" t="e">
        <f>AND(#REF!,"AAAAAFv7bwY=")</f>
        <v>#REF!</v>
      </c>
      <c r="H47" t="e">
        <f>AND(#REF!,"AAAAAFv7bwc=")</f>
        <v>#REF!</v>
      </c>
      <c r="I47" t="e">
        <f>AND(#REF!,"AAAAAFv7bwg=")</f>
        <v>#REF!</v>
      </c>
      <c r="J47" t="e">
        <f>AND(#REF!,"AAAAAFv7bwk=")</f>
        <v>#REF!</v>
      </c>
      <c r="K47" t="e">
        <f>AND(#REF!,"AAAAAFv7bwo=")</f>
        <v>#REF!</v>
      </c>
      <c r="L47" t="e">
        <f>AND(#REF!,"AAAAAFv7bws=")</f>
        <v>#REF!</v>
      </c>
      <c r="M47" t="e">
        <f>AND(#REF!,"AAAAAFv7bww=")</f>
        <v>#REF!</v>
      </c>
      <c r="N47" t="e">
        <f>IF(#REF!,"AAAAAFv7bw0=",0)</f>
        <v>#REF!</v>
      </c>
      <c r="O47" t="e">
        <f>AND(#REF!,"AAAAAFv7bw4=")</f>
        <v>#REF!</v>
      </c>
      <c r="P47" t="e">
        <f>AND(#REF!,"AAAAAFv7bw8=")</f>
        <v>#REF!</v>
      </c>
      <c r="Q47" t="e">
        <f>AND(#REF!,"AAAAAFv7bxA=")</f>
        <v>#REF!</v>
      </c>
      <c r="R47" t="e">
        <f>AND(#REF!,"AAAAAFv7bxE=")</f>
        <v>#REF!</v>
      </c>
      <c r="S47" t="e">
        <f>AND(#REF!,"AAAAAFv7bxI=")</f>
        <v>#REF!</v>
      </c>
      <c r="T47" t="e">
        <f>AND(#REF!,"AAAAAFv7bxM=")</f>
        <v>#REF!</v>
      </c>
      <c r="U47" t="e">
        <f>AND(#REF!,"AAAAAFv7bxQ=")</f>
        <v>#REF!</v>
      </c>
      <c r="V47" t="e">
        <f>AND(#REF!,"AAAAAFv7bxU=")</f>
        <v>#REF!</v>
      </c>
      <c r="W47" t="e">
        <f>AND(#REF!,"AAAAAFv7bxY=")</f>
        <v>#REF!</v>
      </c>
      <c r="X47" t="e">
        <f>AND(#REF!,"AAAAAFv7bxc=")</f>
        <v>#REF!</v>
      </c>
      <c r="Y47" t="e">
        <f>AND(#REF!,"AAAAAFv7bxg=")</f>
        <v>#REF!</v>
      </c>
      <c r="Z47" t="e">
        <f>AND(#REF!,"AAAAAFv7bxk=")</f>
        <v>#REF!</v>
      </c>
      <c r="AA47" t="e">
        <f>AND(#REF!,"AAAAAFv7bxo=")</f>
        <v>#REF!</v>
      </c>
      <c r="AB47" t="e">
        <f>AND(#REF!,"AAAAAFv7bxs=")</f>
        <v>#REF!</v>
      </c>
      <c r="AC47" t="e">
        <f>AND(#REF!,"AAAAAFv7bxw=")</f>
        <v>#REF!</v>
      </c>
      <c r="AD47" t="e">
        <f>AND(#REF!,"AAAAAFv7bx0=")</f>
        <v>#REF!</v>
      </c>
      <c r="AE47" t="e">
        <f>AND(#REF!,"AAAAAFv7bx4=")</f>
        <v>#REF!</v>
      </c>
      <c r="AF47" t="e">
        <f>AND(#REF!,"AAAAAFv7bx8=")</f>
        <v>#REF!</v>
      </c>
      <c r="AG47" t="e">
        <f>AND(#REF!,"AAAAAFv7byA=")</f>
        <v>#REF!</v>
      </c>
      <c r="AH47" t="e">
        <f>AND(#REF!,"AAAAAFv7byE=")</f>
        <v>#REF!</v>
      </c>
      <c r="AI47" t="e">
        <f>AND(#REF!,"AAAAAFv7byI=")</f>
        <v>#REF!</v>
      </c>
      <c r="AJ47" t="e">
        <f>AND(#REF!,"AAAAAFv7byM=")</f>
        <v>#REF!</v>
      </c>
      <c r="AK47" t="e">
        <f>AND(#REF!,"AAAAAFv7byQ=")</f>
        <v>#REF!</v>
      </c>
      <c r="AL47" t="e">
        <f>IF(#REF!,"AAAAAFv7byU=",0)</f>
        <v>#REF!</v>
      </c>
      <c r="AM47" t="e">
        <f>AND(#REF!,"AAAAAFv7byY=")</f>
        <v>#REF!</v>
      </c>
      <c r="AN47" t="e">
        <f>AND(#REF!,"AAAAAFv7byc=")</f>
        <v>#REF!</v>
      </c>
      <c r="AO47" t="e">
        <f>AND(#REF!,"AAAAAFv7byg=")</f>
        <v>#REF!</v>
      </c>
      <c r="AP47" t="e">
        <f>AND(#REF!,"AAAAAFv7byk=")</f>
        <v>#REF!</v>
      </c>
      <c r="AQ47" t="e">
        <f>AND(#REF!,"AAAAAFv7byo=")</f>
        <v>#REF!</v>
      </c>
      <c r="AR47" t="e">
        <f>AND(#REF!,"AAAAAFv7bys=")</f>
        <v>#REF!</v>
      </c>
      <c r="AS47" t="e">
        <f>AND(#REF!,"AAAAAFv7byw=")</f>
        <v>#REF!</v>
      </c>
      <c r="AT47" t="e">
        <f>AND(#REF!,"AAAAAFv7by0=")</f>
        <v>#REF!</v>
      </c>
      <c r="AU47" t="e">
        <f>AND(#REF!,"AAAAAFv7by4=")</f>
        <v>#REF!</v>
      </c>
      <c r="AV47" t="e">
        <f>AND(#REF!,"AAAAAFv7by8=")</f>
        <v>#REF!</v>
      </c>
      <c r="AW47" t="e">
        <f>AND(#REF!,"AAAAAFv7bzA=")</f>
        <v>#REF!</v>
      </c>
      <c r="AX47" t="e">
        <f>AND(#REF!,"AAAAAFv7bzE=")</f>
        <v>#REF!</v>
      </c>
      <c r="AY47" t="e">
        <f>AND(#REF!,"AAAAAFv7bzI=")</f>
        <v>#REF!</v>
      </c>
      <c r="AZ47" t="e">
        <f>AND(#REF!,"AAAAAFv7bzM=")</f>
        <v>#REF!</v>
      </c>
      <c r="BA47" t="e">
        <f>AND(#REF!,"AAAAAFv7bzQ=")</f>
        <v>#REF!</v>
      </c>
      <c r="BB47" t="e">
        <f>AND(#REF!,"AAAAAFv7bzU=")</f>
        <v>#REF!</v>
      </c>
      <c r="BC47" t="e">
        <f>AND(#REF!,"AAAAAFv7bzY=")</f>
        <v>#REF!</v>
      </c>
      <c r="BD47" t="e">
        <f>AND(#REF!,"AAAAAFv7bzc=")</f>
        <v>#REF!</v>
      </c>
      <c r="BE47" t="e">
        <f>AND(#REF!,"AAAAAFv7bzg=")</f>
        <v>#REF!</v>
      </c>
      <c r="BF47" t="e">
        <f>AND(#REF!,"AAAAAFv7bzk=")</f>
        <v>#REF!</v>
      </c>
      <c r="BG47" t="e">
        <f>AND(#REF!,"AAAAAFv7bzo=")</f>
        <v>#REF!</v>
      </c>
      <c r="BH47" t="e">
        <f>AND(#REF!,"AAAAAFv7bzs=")</f>
        <v>#REF!</v>
      </c>
      <c r="BI47" t="e">
        <f>AND(#REF!,"AAAAAFv7bzw=")</f>
        <v>#REF!</v>
      </c>
      <c r="BJ47" t="e">
        <f>IF(#REF!,"AAAAAFv7bz0=",0)</f>
        <v>#REF!</v>
      </c>
      <c r="BK47" t="e">
        <f>AND(#REF!,"AAAAAFv7bz4=")</f>
        <v>#REF!</v>
      </c>
      <c r="BL47" t="e">
        <f>AND(#REF!,"AAAAAFv7bz8=")</f>
        <v>#REF!</v>
      </c>
      <c r="BM47" t="e">
        <f>AND(#REF!,"AAAAAFv7b0A=")</f>
        <v>#REF!</v>
      </c>
      <c r="BN47" t="e">
        <f>AND(#REF!,"AAAAAFv7b0E=")</f>
        <v>#REF!</v>
      </c>
      <c r="BO47" t="e">
        <f>AND(#REF!,"AAAAAFv7b0I=")</f>
        <v>#REF!</v>
      </c>
      <c r="BP47" t="e">
        <f>AND(#REF!,"AAAAAFv7b0M=")</f>
        <v>#REF!</v>
      </c>
      <c r="BQ47" t="e">
        <f>AND(#REF!,"AAAAAFv7b0Q=")</f>
        <v>#REF!</v>
      </c>
      <c r="BR47" t="e">
        <f>AND(#REF!,"AAAAAFv7b0U=")</f>
        <v>#REF!</v>
      </c>
      <c r="BS47" t="e">
        <f>AND(#REF!,"AAAAAFv7b0Y=")</f>
        <v>#REF!</v>
      </c>
      <c r="BT47" t="e">
        <f>AND(#REF!,"AAAAAFv7b0c=")</f>
        <v>#REF!</v>
      </c>
      <c r="BU47" t="e">
        <f>AND(#REF!,"AAAAAFv7b0g=")</f>
        <v>#REF!</v>
      </c>
      <c r="BV47" t="e">
        <f>AND(#REF!,"AAAAAFv7b0k=")</f>
        <v>#REF!</v>
      </c>
      <c r="BW47" t="e">
        <f>AND(#REF!,"AAAAAFv7b0o=")</f>
        <v>#REF!</v>
      </c>
      <c r="BX47" t="e">
        <f>AND(#REF!,"AAAAAFv7b0s=")</f>
        <v>#REF!</v>
      </c>
      <c r="BY47" t="e">
        <f>AND(#REF!,"AAAAAFv7b0w=")</f>
        <v>#REF!</v>
      </c>
      <c r="BZ47" t="e">
        <f>AND(#REF!,"AAAAAFv7b00=")</f>
        <v>#REF!</v>
      </c>
      <c r="CA47" t="e">
        <f>AND(#REF!,"AAAAAFv7b04=")</f>
        <v>#REF!</v>
      </c>
      <c r="CB47" t="e">
        <f>AND(#REF!,"AAAAAFv7b08=")</f>
        <v>#REF!</v>
      </c>
      <c r="CC47" t="e">
        <f>AND(#REF!,"AAAAAFv7b1A=")</f>
        <v>#REF!</v>
      </c>
      <c r="CD47" t="e">
        <f>AND(#REF!,"AAAAAFv7b1E=")</f>
        <v>#REF!</v>
      </c>
      <c r="CE47" t="e">
        <f>AND(#REF!,"AAAAAFv7b1I=")</f>
        <v>#REF!</v>
      </c>
      <c r="CF47" t="e">
        <f>AND(#REF!,"AAAAAFv7b1M=")</f>
        <v>#REF!</v>
      </c>
      <c r="CG47" t="e">
        <f>AND(#REF!,"AAAAAFv7b1Q=")</f>
        <v>#REF!</v>
      </c>
      <c r="CH47" t="e">
        <f>IF(#REF!,"AAAAAFv7b1U=",0)</f>
        <v>#REF!</v>
      </c>
      <c r="CI47" t="e">
        <f>AND(#REF!,"AAAAAFv7b1Y=")</f>
        <v>#REF!</v>
      </c>
      <c r="CJ47" t="e">
        <f>AND(#REF!,"AAAAAFv7b1c=")</f>
        <v>#REF!</v>
      </c>
      <c r="CK47" t="e">
        <f>AND(#REF!,"AAAAAFv7b1g=")</f>
        <v>#REF!</v>
      </c>
      <c r="CL47" t="e">
        <f>AND(#REF!,"AAAAAFv7b1k=")</f>
        <v>#REF!</v>
      </c>
      <c r="CM47" t="e">
        <f>AND(#REF!,"AAAAAFv7b1o=")</f>
        <v>#REF!</v>
      </c>
      <c r="CN47" t="e">
        <f>AND(#REF!,"AAAAAFv7b1s=")</f>
        <v>#REF!</v>
      </c>
      <c r="CO47" t="e">
        <f>AND(#REF!,"AAAAAFv7b1w=")</f>
        <v>#REF!</v>
      </c>
      <c r="CP47" t="e">
        <f>AND(#REF!,"AAAAAFv7b10=")</f>
        <v>#REF!</v>
      </c>
      <c r="CQ47" t="e">
        <f>AND(#REF!,"AAAAAFv7b14=")</f>
        <v>#REF!</v>
      </c>
      <c r="CR47" t="e">
        <f>AND(#REF!,"AAAAAFv7b18=")</f>
        <v>#REF!</v>
      </c>
      <c r="CS47" t="e">
        <f>AND(#REF!,"AAAAAFv7b2A=")</f>
        <v>#REF!</v>
      </c>
      <c r="CT47" t="e">
        <f>AND(#REF!,"AAAAAFv7b2E=")</f>
        <v>#REF!</v>
      </c>
      <c r="CU47" t="e">
        <f>AND(#REF!,"AAAAAFv7b2I=")</f>
        <v>#REF!</v>
      </c>
      <c r="CV47" t="e">
        <f>AND(#REF!,"AAAAAFv7b2M=")</f>
        <v>#REF!</v>
      </c>
      <c r="CW47" t="e">
        <f>AND(#REF!,"AAAAAFv7b2Q=")</f>
        <v>#REF!</v>
      </c>
      <c r="CX47" t="e">
        <f>AND(#REF!,"AAAAAFv7b2U=")</f>
        <v>#REF!</v>
      </c>
      <c r="CY47" t="e">
        <f>AND(#REF!,"AAAAAFv7b2Y=")</f>
        <v>#REF!</v>
      </c>
      <c r="CZ47" t="e">
        <f>AND(#REF!,"AAAAAFv7b2c=")</f>
        <v>#REF!</v>
      </c>
      <c r="DA47" t="e">
        <f>AND(#REF!,"AAAAAFv7b2g=")</f>
        <v>#REF!</v>
      </c>
      <c r="DB47" t="e">
        <f>AND(#REF!,"AAAAAFv7b2k=")</f>
        <v>#REF!</v>
      </c>
      <c r="DC47" t="e">
        <f>AND(#REF!,"AAAAAFv7b2o=")</f>
        <v>#REF!</v>
      </c>
      <c r="DD47" t="e">
        <f>AND(#REF!,"AAAAAFv7b2s=")</f>
        <v>#REF!</v>
      </c>
      <c r="DE47" t="e">
        <f>AND(#REF!,"AAAAAFv7b2w=")</f>
        <v>#REF!</v>
      </c>
      <c r="DF47" t="e">
        <f>IF(#REF!,"AAAAAFv7b20=",0)</f>
        <v>#REF!</v>
      </c>
      <c r="DG47" t="e">
        <f>AND(#REF!,"AAAAAFv7b24=")</f>
        <v>#REF!</v>
      </c>
      <c r="DH47" t="e">
        <f>AND(#REF!,"AAAAAFv7b28=")</f>
        <v>#REF!</v>
      </c>
      <c r="DI47" t="e">
        <f>AND(#REF!,"AAAAAFv7b3A=")</f>
        <v>#REF!</v>
      </c>
      <c r="DJ47" t="e">
        <f>AND(#REF!,"AAAAAFv7b3E=")</f>
        <v>#REF!</v>
      </c>
      <c r="DK47" t="e">
        <f>AND(#REF!,"AAAAAFv7b3I=")</f>
        <v>#REF!</v>
      </c>
      <c r="DL47" t="e">
        <f>AND(#REF!,"AAAAAFv7b3M=")</f>
        <v>#REF!</v>
      </c>
      <c r="DM47" t="e">
        <f>AND(#REF!,"AAAAAFv7b3Q=")</f>
        <v>#REF!</v>
      </c>
      <c r="DN47" t="e">
        <f>AND(#REF!,"AAAAAFv7b3U=")</f>
        <v>#REF!</v>
      </c>
      <c r="DO47" t="e">
        <f>AND(#REF!,"AAAAAFv7b3Y=")</f>
        <v>#REF!</v>
      </c>
      <c r="DP47" t="e">
        <f>AND(#REF!,"AAAAAFv7b3c=")</f>
        <v>#REF!</v>
      </c>
      <c r="DQ47" t="e">
        <f>AND(#REF!,"AAAAAFv7b3g=")</f>
        <v>#REF!</v>
      </c>
      <c r="DR47" t="e">
        <f>AND(#REF!,"AAAAAFv7b3k=")</f>
        <v>#REF!</v>
      </c>
      <c r="DS47" t="e">
        <f>AND(#REF!,"AAAAAFv7b3o=")</f>
        <v>#REF!</v>
      </c>
      <c r="DT47" t="e">
        <f>AND(#REF!,"AAAAAFv7b3s=")</f>
        <v>#REF!</v>
      </c>
      <c r="DU47" t="e">
        <f>AND(#REF!,"AAAAAFv7b3w=")</f>
        <v>#REF!</v>
      </c>
      <c r="DV47" t="e">
        <f>AND(#REF!,"AAAAAFv7b30=")</f>
        <v>#REF!</v>
      </c>
      <c r="DW47" t="e">
        <f>AND(#REF!,"AAAAAFv7b34=")</f>
        <v>#REF!</v>
      </c>
      <c r="DX47" t="e">
        <f>AND(#REF!,"AAAAAFv7b38=")</f>
        <v>#REF!</v>
      </c>
      <c r="DY47" t="e">
        <f>AND(#REF!,"AAAAAFv7b4A=")</f>
        <v>#REF!</v>
      </c>
      <c r="DZ47" t="e">
        <f>AND(#REF!,"AAAAAFv7b4E=")</f>
        <v>#REF!</v>
      </c>
      <c r="EA47" t="e">
        <f>AND(#REF!,"AAAAAFv7b4I=")</f>
        <v>#REF!</v>
      </c>
      <c r="EB47" t="e">
        <f>AND(#REF!,"AAAAAFv7b4M=")</f>
        <v>#REF!</v>
      </c>
      <c r="EC47" t="e">
        <f>AND(#REF!,"AAAAAFv7b4Q=")</f>
        <v>#REF!</v>
      </c>
      <c r="ED47" t="e">
        <f>IF(#REF!,"AAAAAFv7b4U=",0)</f>
        <v>#REF!</v>
      </c>
      <c r="EE47" t="e">
        <f>AND(#REF!,"AAAAAFv7b4Y=")</f>
        <v>#REF!</v>
      </c>
      <c r="EF47" t="e">
        <f>AND(#REF!,"AAAAAFv7b4c=")</f>
        <v>#REF!</v>
      </c>
      <c r="EG47" t="e">
        <f>AND(#REF!,"AAAAAFv7b4g=")</f>
        <v>#REF!</v>
      </c>
      <c r="EH47" t="e">
        <f>AND(#REF!,"AAAAAFv7b4k=")</f>
        <v>#REF!</v>
      </c>
      <c r="EI47" t="e">
        <f>AND(#REF!,"AAAAAFv7b4o=")</f>
        <v>#REF!</v>
      </c>
      <c r="EJ47" t="e">
        <f>AND(#REF!,"AAAAAFv7b4s=")</f>
        <v>#REF!</v>
      </c>
      <c r="EK47" t="e">
        <f>AND(#REF!,"AAAAAFv7b4w=")</f>
        <v>#REF!</v>
      </c>
      <c r="EL47" t="e">
        <f>AND(#REF!,"AAAAAFv7b40=")</f>
        <v>#REF!</v>
      </c>
      <c r="EM47" t="e">
        <f>AND(#REF!,"AAAAAFv7b44=")</f>
        <v>#REF!</v>
      </c>
      <c r="EN47" t="e">
        <f>AND(#REF!,"AAAAAFv7b48=")</f>
        <v>#REF!</v>
      </c>
      <c r="EO47" t="e">
        <f>AND(#REF!,"AAAAAFv7b5A=")</f>
        <v>#REF!</v>
      </c>
      <c r="EP47" t="e">
        <f>AND(#REF!,"AAAAAFv7b5E=")</f>
        <v>#REF!</v>
      </c>
      <c r="EQ47" t="e">
        <f>AND(#REF!,"AAAAAFv7b5I=")</f>
        <v>#REF!</v>
      </c>
      <c r="ER47" t="e">
        <f>AND(#REF!,"AAAAAFv7b5M=")</f>
        <v>#REF!</v>
      </c>
      <c r="ES47" t="e">
        <f>AND(#REF!,"AAAAAFv7b5Q=")</f>
        <v>#REF!</v>
      </c>
      <c r="ET47" t="e">
        <f>AND(#REF!,"AAAAAFv7b5U=")</f>
        <v>#REF!</v>
      </c>
      <c r="EU47" t="e">
        <f>AND(#REF!,"AAAAAFv7b5Y=")</f>
        <v>#REF!</v>
      </c>
      <c r="EV47" t="e">
        <f>AND(#REF!,"AAAAAFv7b5c=")</f>
        <v>#REF!</v>
      </c>
      <c r="EW47" t="e">
        <f>AND(#REF!,"AAAAAFv7b5g=")</f>
        <v>#REF!</v>
      </c>
      <c r="EX47" t="e">
        <f>AND(#REF!,"AAAAAFv7b5k=")</f>
        <v>#REF!</v>
      </c>
      <c r="EY47" t="e">
        <f>AND(#REF!,"AAAAAFv7b5o=")</f>
        <v>#REF!</v>
      </c>
      <c r="EZ47" t="e">
        <f>AND(#REF!,"AAAAAFv7b5s=")</f>
        <v>#REF!</v>
      </c>
      <c r="FA47" t="e">
        <f>AND(#REF!,"AAAAAFv7b5w=")</f>
        <v>#REF!</v>
      </c>
      <c r="FB47" t="e">
        <f>IF(#REF!,"AAAAAFv7b50=",0)</f>
        <v>#REF!</v>
      </c>
      <c r="FC47" t="e">
        <f>AND(#REF!,"AAAAAFv7b54=")</f>
        <v>#REF!</v>
      </c>
      <c r="FD47" t="e">
        <f>AND(#REF!,"AAAAAFv7b58=")</f>
        <v>#REF!</v>
      </c>
      <c r="FE47" t="e">
        <f>AND(#REF!,"AAAAAFv7b6A=")</f>
        <v>#REF!</v>
      </c>
      <c r="FF47" t="e">
        <f>AND(#REF!,"AAAAAFv7b6E=")</f>
        <v>#REF!</v>
      </c>
      <c r="FG47" t="e">
        <f>AND(#REF!,"AAAAAFv7b6I=")</f>
        <v>#REF!</v>
      </c>
      <c r="FH47" t="e">
        <f>AND(#REF!,"AAAAAFv7b6M=")</f>
        <v>#REF!</v>
      </c>
      <c r="FI47" t="e">
        <f>AND(#REF!,"AAAAAFv7b6Q=")</f>
        <v>#REF!</v>
      </c>
      <c r="FJ47" t="e">
        <f>AND(#REF!,"AAAAAFv7b6U=")</f>
        <v>#REF!</v>
      </c>
      <c r="FK47" t="e">
        <f>AND(#REF!,"AAAAAFv7b6Y=")</f>
        <v>#REF!</v>
      </c>
      <c r="FL47" t="e">
        <f>AND(#REF!,"AAAAAFv7b6c=")</f>
        <v>#REF!</v>
      </c>
      <c r="FM47" t="e">
        <f>AND(#REF!,"AAAAAFv7b6g=")</f>
        <v>#REF!</v>
      </c>
      <c r="FN47" t="e">
        <f>AND(#REF!,"AAAAAFv7b6k=")</f>
        <v>#REF!</v>
      </c>
      <c r="FO47" t="e">
        <f>AND(#REF!,"AAAAAFv7b6o=")</f>
        <v>#REF!</v>
      </c>
      <c r="FP47" t="e">
        <f>AND(#REF!,"AAAAAFv7b6s=")</f>
        <v>#REF!</v>
      </c>
      <c r="FQ47" t="e">
        <f>AND(#REF!,"AAAAAFv7b6w=")</f>
        <v>#REF!</v>
      </c>
      <c r="FR47" t="e">
        <f>AND(#REF!,"AAAAAFv7b60=")</f>
        <v>#REF!</v>
      </c>
      <c r="FS47" t="e">
        <f>AND(#REF!,"AAAAAFv7b64=")</f>
        <v>#REF!</v>
      </c>
      <c r="FT47" t="e">
        <f>AND(#REF!,"AAAAAFv7b68=")</f>
        <v>#REF!</v>
      </c>
      <c r="FU47" t="e">
        <f>AND(#REF!,"AAAAAFv7b7A=")</f>
        <v>#REF!</v>
      </c>
      <c r="FV47" t="e">
        <f>AND(#REF!,"AAAAAFv7b7E=")</f>
        <v>#REF!</v>
      </c>
      <c r="FW47" t="e">
        <f>AND(#REF!,"AAAAAFv7b7I=")</f>
        <v>#REF!</v>
      </c>
      <c r="FX47" t="e">
        <f>AND(#REF!,"AAAAAFv7b7M=")</f>
        <v>#REF!</v>
      </c>
      <c r="FY47" t="e">
        <f>AND(#REF!,"AAAAAFv7b7Q=")</f>
        <v>#REF!</v>
      </c>
      <c r="FZ47" t="e">
        <f>IF(#REF!,"AAAAAFv7b7U=",0)</f>
        <v>#REF!</v>
      </c>
      <c r="GA47" t="e">
        <f>AND(#REF!,"AAAAAFv7b7Y=")</f>
        <v>#REF!</v>
      </c>
      <c r="GB47" t="e">
        <f>AND(#REF!,"AAAAAFv7b7c=")</f>
        <v>#REF!</v>
      </c>
      <c r="GC47" t="e">
        <f>AND(#REF!,"AAAAAFv7b7g=")</f>
        <v>#REF!</v>
      </c>
      <c r="GD47" t="e">
        <f>AND(#REF!,"AAAAAFv7b7k=")</f>
        <v>#REF!</v>
      </c>
      <c r="GE47" t="e">
        <f>AND(#REF!,"AAAAAFv7b7o=")</f>
        <v>#REF!</v>
      </c>
      <c r="GF47" t="e">
        <f>AND(#REF!,"AAAAAFv7b7s=")</f>
        <v>#REF!</v>
      </c>
      <c r="GG47" t="e">
        <f>AND(#REF!,"AAAAAFv7b7w=")</f>
        <v>#REF!</v>
      </c>
      <c r="GH47" t="e">
        <f>AND(#REF!,"AAAAAFv7b70=")</f>
        <v>#REF!</v>
      </c>
      <c r="GI47" t="e">
        <f>AND(#REF!,"AAAAAFv7b74=")</f>
        <v>#REF!</v>
      </c>
      <c r="GJ47" t="e">
        <f>AND(#REF!,"AAAAAFv7b78=")</f>
        <v>#REF!</v>
      </c>
      <c r="GK47" t="e">
        <f>AND(#REF!,"AAAAAFv7b8A=")</f>
        <v>#REF!</v>
      </c>
      <c r="GL47" t="e">
        <f>AND(#REF!,"AAAAAFv7b8E=")</f>
        <v>#REF!</v>
      </c>
      <c r="GM47" t="e">
        <f>AND(#REF!,"AAAAAFv7b8I=")</f>
        <v>#REF!</v>
      </c>
      <c r="GN47" t="e">
        <f>AND(#REF!,"AAAAAFv7b8M=")</f>
        <v>#REF!</v>
      </c>
      <c r="GO47" t="e">
        <f>AND(#REF!,"AAAAAFv7b8Q=")</f>
        <v>#REF!</v>
      </c>
      <c r="GP47" t="e">
        <f>AND(#REF!,"AAAAAFv7b8U=")</f>
        <v>#REF!</v>
      </c>
      <c r="GQ47" t="e">
        <f>AND(#REF!,"AAAAAFv7b8Y=")</f>
        <v>#REF!</v>
      </c>
      <c r="GR47" t="e">
        <f>AND(#REF!,"AAAAAFv7b8c=")</f>
        <v>#REF!</v>
      </c>
      <c r="GS47" t="e">
        <f>AND(#REF!,"AAAAAFv7b8g=")</f>
        <v>#REF!</v>
      </c>
      <c r="GT47" t="e">
        <f>AND(#REF!,"AAAAAFv7b8k=")</f>
        <v>#REF!</v>
      </c>
      <c r="GU47" t="e">
        <f>AND(#REF!,"AAAAAFv7b8o=")</f>
        <v>#REF!</v>
      </c>
      <c r="GV47" t="e">
        <f>AND(#REF!,"AAAAAFv7b8s=")</f>
        <v>#REF!</v>
      </c>
      <c r="GW47" t="e">
        <f>AND(#REF!,"AAAAAFv7b8w=")</f>
        <v>#REF!</v>
      </c>
      <c r="GX47" t="e">
        <f>IF(#REF!,"AAAAAFv7b80=",0)</f>
        <v>#REF!</v>
      </c>
      <c r="GY47" t="e">
        <f>AND(#REF!,"AAAAAFv7b84=")</f>
        <v>#REF!</v>
      </c>
      <c r="GZ47" t="e">
        <f>AND(#REF!,"AAAAAFv7b88=")</f>
        <v>#REF!</v>
      </c>
      <c r="HA47" t="e">
        <f>AND(#REF!,"AAAAAFv7b9A=")</f>
        <v>#REF!</v>
      </c>
      <c r="HB47" t="e">
        <f>AND(#REF!,"AAAAAFv7b9E=")</f>
        <v>#REF!</v>
      </c>
      <c r="HC47" t="e">
        <f>AND(#REF!,"AAAAAFv7b9I=")</f>
        <v>#REF!</v>
      </c>
      <c r="HD47" t="e">
        <f>AND(#REF!,"AAAAAFv7b9M=")</f>
        <v>#REF!</v>
      </c>
      <c r="HE47" t="e">
        <f>AND(#REF!,"AAAAAFv7b9Q=")</f>
        <v>#REF!</v>
      </c>
      <c r="HF47" t="e">
        <f>AND(#REF!,"AAAAAFv7b9U=")</f>
        <v>#REF!</v>
      </c>
      <c r="HG47" t="e">
        <f>AND(#REF!,"AAAAAFv7b9Y=")</f>
        <v>#REF!</v>
      </c>
      <c r="HH47" t="e">
        <f>AND(#REF!,"AAAAAFv7b9c=")</f>
        <v>#REF!</v>
      </c>
      <c r="HI47" t="e">
        <f>AND(#REF!,"AAAAAFv7b9g=")</f>
        <v>#REF!</v>
      </c>
      <c r="HJ47" t="e">
        <f>AND(#REF!,"AAAAAFv7b9k=")</f>
        <v>#REF!</v>
      </c>
      <c r="HK47" t="e">
        <f>AND(#REF!,"AAAAAFv7b9o=")</f>
        <v>#REF!</v>
      </c>
      <c r="HL47" t="e">
        <f>AND(#REF!,"AAAAAFv7b9s=")</f>
        <v>#REF!</v>
      </c>
      <c r="HM47" t="e">
        <f>AND(#REF!,"AAAAAFv7b9w=")</f>
        <v>#REF!</v>
      </c>
      <c r="HN47" t="e">
        <f>AND(#REF!,"AAAAAFv7b90=")</f>
        <v>#REF!</v>
      </c>
      <c r="HO47" t="e">
        <f>AND(#REF!,"AAAAAFv7b94=")</f>
        <v>#REF!</v>
      </c>
      <c r="HP47" t="e">
        <f>AND(#REF!,"AAAAAFv7b98=")</f>
        <v>#REF!</v>
      </c>
      <c r="HQ47" t="e">
        <f>AND(#REF!,"AAAAAFv7b+A=")</f>
        <v>#REF!</v>
      </c>
      <c r="HR47" t="e">
        <f>AND(#REF!,"AAAAAFv7b+E=")</f>
        <v>#REF!</v>
      </c>
      <c r="HS47" t="e">
        <f>AND(#REF!,"AAAAAFv7b+I=")</f>
        <v>#REF!</v>
      </c>
      <c r="HT47" t="e">
        <f>AND(#REF!,"AAAAAFv7b+M=")</f>
        <v>#REF!</v>
      </c>
      <c r="HU47" t="e">
        <f>AND(#REF!,"AAAAAFv7b+Q=")</f>
        <v>#REF!</v>
      </c>
      <c r="HV47" t="e">
        <f>IF(#REF!,"AAAAAFv7b+U=",0)</f>
        <v>#REF!</v>
      </c>
      <c r="HW47" t="e">
        <f>AND(#REF!,"AAAAAFv7b+Y=")</f>
        <v>#REF!</v>
      </c>
      <c r="HX47" t="e">
        <f>AND(#REF!,"AAAAAFv7b+c=")</f>
        <v>#REF!</v>
      </c>
      <c r="HY47" t="e">
        <f>AND(#REF!,"AAAAAFv7b+g=")</f>
        <v>#REF!</v>
      </c>
      <c r="HZ47" t="e">
        <f>AND(#REF!,"AAAAAFv7b+k=")</f>
        <v>#REF!</v>
      </c>
      <c r="IA47" t="e">
        <f>AND(#REF!,"AAAAAFv7b+o=")</f>
        <v>#REF!</v>
      </c>
      <c r="IB47" t="e">
        <f>AND(#REF!,"AAAAAFv7b+s=")</f>
        <v>#REF!</v>
      </c>
      <c r="IC47" t="e">
        <f>AND(#REF!,"AAAAAFv7b+w=")</f>
        <v>#REF!</v>
      </c>
      <c r="ID47" t="e">
        <f>AND(#REF!,"AAAAAFv7b+0=")</f>
        <v>#REF!</v>
      </c>
      <c r="IE47" t="e">
        <f>AND(#REF!,"AAAAAFv7b+4=")</f>
        <v>#REF!</v>
      </c>
      <c r="IF47" t="e">
        <f>AND(#REF!,"AAAAAFv7b+8=")</f>
        <v>#REF!</v>
      </c>
      <c r="IG47" t="e">
        <f>AND(#REF!,"AAAAAFv7b/A=")</f>
        <v>#REF!</v>
      </c>
      <c r="IH47" t="e">
        <f>AND(#REF!,"AAAAAFv7b/E=")</f>
        <v>#REF!</v>
      </c>
      <c r="II47" t="e">
        <f>AND(#REF!,"AAAAAFv7b/I=")</f>
        <v>#REF!</v>
      </c>
      <c r="IJ47" t="e">
        <f>AND(#REF!,"AAAAAFv7b/M=")</f>
        <v>#REF!</v>
      </c>
      <c r="IK47" t="e">
        <f>AND(#REF!,"AAAAAFv7b/Q=")</f>
        <v>#REF!</v>
      </c>
      <c r="IL47" t="e">
        <f>AND(#REF!,"AAAAAFv7b/U=")</f>
        <v>#REF!</v>
      </c>
      <c r="IM47" t="e">
        <f>AND(#REF!,"AAAAAFv7b/Y=")</f>
        <v>#REF!</v>
      </c>
      <c r="IN47" t="e">
        <f>AND(#REF!,"AAAAAFv7b/c=")</f>
        <v>#REF!</v>
      </c>
      <c r="IO47" t="e">
        <f>AND(#REF!,"AAAAAFv7b/g=")</f>
        <v>#REF!</v>
      </c>
      <c r="IP47" t="e">
        <f>AND(#REF!,"AAAAAFv7b/k=")</f>
        <v>#REF!</v>
      </c>
      <c r="IQ47" t="e">
        <f>AND(#REF!,"AAAAAFv7b/o=")</f>
        <v>#REF!</v>
      </c>
      <c r="IR47" t="e">
        <f>AND(#REF!,"AAAAAFv7b/s=")</f>
        <v>#REF!</v>
      </c>
      <c r="IS47" t="e">
        <f>AND(#REF!,"AAAAAFv7b/w=")</f>
        <v>#REF!</v>
      </c>
      <c r="IT47" t="e">
        <f>IF(#REF!,"AAAAAFv7b/0=",0)</f>
        <v>#REF!</v>
      </c>
      <c r="IU47" t="e">
        <f>AND(#REF!,"AAAAAFv7b/4=")</f>
        <v>#REF!</v>
      </c>
      <c r="IV47" t="e">
        <f>AND(#REF!,"AAAAAFv7b/8=")</f>
        <v>#REF!</v>
      </c>
    </row>
    <row r="48" spans="1:256" x14ac:dyDescent="0.15">
      <c r="A48" t="e">
        <f>AND(#REF!,"AAAAAH96vwA=")</f>
        <v>#REF!</v>
      </c>
      <c r="B48" t="e">
        <f>AND(#REF!,"AAAAAH96vwE=")</f>
        <v>#REF!</v>
      </c>
      <c r="C48" t="e">
        <f>AND(#REF!,"AAAAAH96vwI=")</f>
        <v>#REF!</v>
      </c>
      <c r="D48" t="e">
        <f>AND(#REF!,"AAAAAH96vwM=")</f>
        <v>#REF!</v>
      </c>
      <c r="E48" t="e">
        <f>AND(#REF!,"AAAAAH96vwQ=")</f>
        <v>#REF!</v>
      </c>
      <c r="F48" t="e">
        <f>AND(#REF!,"AAAAAH96vwU=")</f>
        <v>#REF!</v>
      </c>
      <c r="G48" t="e">
        <f>AND(#REF!,"AAAAAH96vwY=")</f>
        <v>#REF!</v>
      </c>
      <c r="H48" t="e">
        <f>AND(#REF!,"AAAAAH96vwc=")</f>
        <v>#REF!</v>
      </c>
      <c r="I48" t="e">
        <f>AND(#REF!,"AAAAAH96vwg=")</f>
        <v>#REF!</v>
      </c>
      <c r="J48" t="e">
        <f>AND(#REF!,"AAAAAH96vwk=")</f>
        <v>#REF!</v>
      </c>
      <c r="K48" t="e">
        <f>AND(#REF!,"AAAAAH96vwo=")</f>
        <v>#REF!</v>
      </c>
      <c r="L48" t="e">
        <f>AND(#REF!,"AAAAAH96vws=")</f>
        <v>#REF!</v>
      </c>
      <c r="M48" t="e">
        <f>AND(#REF!,"AAAAAH96vww=")</f>
        <v>#REF!</v>
      </c>
      <c r="N48" t="e">
        <f>AND(#REF!,"AAAAAH96vw0=")</f>
        <v>#REF!</v>
      </c>
      <c r="O48" t="e">
        <f>AND(#REF!,"AAAAAH96vw4=")</f>
        <v>#REF!</v>
      </c>
      <c r="P48" t="e">
        <f>AND(#REF!,"AAAAAH96vw8=")</f>
        <v>#REF!</v>
      </c>
      <c r="Q48" t="e">
        <f>AND(#REF!,"AAAAAH96vxA=")</f>
        <v>#REF!</v>
      </c>
      <c r="R48" t="e">
        <f>AND(#REF!,"AAAAAH96vxE=")</f>
        <v>#REF!</v>
      </c>
      <c r="S48" t="e">
        <f>AND(#REF!,"AAAAAH96vxI=")</f>
        <v>#REF!</v>
      </c>
      <c r="T48" t="e">
        <f>AND(#REF!,"AAAAAH96vxM=")</f>
        <v>#REF!</v>
      </c>
      <c r="U48" t="e">
        <f>AND(#REF!,"AAAAAH96vxQ=")</f>
        <v>#REF!</v>
      </c>
      <c r="V48" t="e">
        <f>IF(#REF!,"AAAAAH96vxU=",0)</f>
        <v>#REF!</v>
      </c>
      <c r="W48" t="e">
        <f>AND(#REF!,"AAAAAH96vxY=")</f>
        <v>#REF!</v>
      </c>
      <c r="X48" t="e">
        <f>AND(#REF!,"AAAAAH96vxc=")</f>
        <v>#REF!</v>
      </c>
      <c r="Y48" t="e">
        <f>AND(#REF!,"AAAAAH96vxg=")</f>
        <v>#REF!</v>
      </c>
      <c r="Z48" t="e">
        <f>AND(#REF!,"AAAAAH96vxk=")</f>
        <v>#REF!</v>
      </c>
      <c r="AA48" t="e">
        <f>AND(#REF!,"AAAAAH96vxo=")</f>
        <v>#REF!</v>
      </c>
      <c r="AB48" t="e">
        <f>AND(#REF!,"AAAAAH96vxs=")</f>
        <v>#REF!</v>
      </c>
      <c r="AC48" t="e">
        <f>AND(#REF!,"AAAAAH96vxw=")</f>
        <v>#REF!</v>
      </c>
      <c r="AD48" t="e">
        <f>AND(#REF!,"AAAAAH96vx0=")</f>
        <v>#REF!</v>
      </c>
      <c r="AE48" t="e">
        <f>AND(#REF!,"AAAAAH96vx4=")</f>
        <v>#REF!</v>
      </c>
      <c r="AF48" t="e">
        <f>AND(#REF!,"AAAAAH96vx8=")</f>
        <v>#REF!</v>
      </c>
      <c r="AG48" t="e">
        <f>AND(#REF!,"AAAAAH96vyA=")</f>
        <v>#REF!</v>
      </c>
      <c r="AH48" t="e">
        <f>AND(#REF!,"AAAAAH96vyE=")</f>
        <v>#REF!</v>
      </c>
      <c r="AI48" t="e">
        <f>AND(#REF!,"AAAAAH96vyI=")</f>
        <v>#REF!</v>
      </c>
      <c r="AJ48" t="e">
        <f>AND(#REF!,"AAAAAH96vyM=")</f>
        <v>#REF!</v>
      </c>
      <c r="AK48" t="e">
        <f>AND(#REF!,"AAAAAH96vyQ=")</f>
        <v>#REF!</v>
      </c>
      <c r="AL48" t="e">
        <f>AND(#REF!,"AAAAAH96vyU=")</f>
        <v>#REF!</v>
      </c>
      <c r="AM48" t="e">
        <f>AND(#REF!,"AAAAAH96vyY=")</f>
        <v>#REF!</v>
      </c>
      <c r="AN48" t="e">
        <f>AND(#REF!,"AAAAAH96vyc=")</f>
        <v>#REF!</v>
      </c>
      <c r="AO48" t="e">
        <f>AND(#REF!,"AAAAAH96vyg=")</f>
        <v>#REF!</v>
      </c>
      <c r="AP48" t="e">
        <f>AND(#REF!,"AAAAAH96vyk=")</f>
        <v>#REF!</v>
      </c>
      <c r="AQ48" t="e">
        <f>AND(#REF!,"AAAAAH96vyo=")</f>
        <v>#REF!</v>
      </c>
      <c r="AR48" t="e">
        <f>AND(#REF!,"AAAAAH96vys=")</f>
        <v>#REF!</v>
      </c>
      <c r="AS48" t="e">
        <f>AND(#REF!,"AAAAAH96vyw=")</f>
        <v>#REF!</v>
      </c>
      <c r="AT48" t="e">
        <f>IF(#REF!,"AAAAAH96vy0=",0)</f>
        <v>#REF!</v>
      </c>
      <c r="AU48" t="e">
        <f>AND(#REF!,"AAAAAH96vy4=")</f>
        <v>#REF!</v>
      </c>
      <c r="AV48" t="e">
        <f>AND(#REF!,"AAAAAH96vy8=")</f>
        <v>#REF!</v>
      </c>
      <c r="AW48" t="e">
        <f>AND(#REF!,"AAAAAH96vzA=")</f>
        <v>#REF!</v>
      </c>
      <c r="AX48" t="e">
        <f>AND(#REF!,"AAAAAH96vzE=")</f>
        <v>#REF!</v>
      </c>
      <c r="AY48" t="e">
        <f>AND(#REF!,"AAAAAH96vzI=")</f>
        <v>#REF!</v>
      </c>
      <c r="AZ48" t="e">
        <f>AND(#REF!,"AAAAAH96vzM=")</f>
        <v>#REF!</v>
      </c>
      <c r="BA48" t="e">
        <f>AND(#REF!,"AAAAAH96vzQ=")</f>
        <v>#REF!</v>
      </c>
      <c r="BB48" t="e">
        <f>AND(#REF!,"AAAAAH96vzU=")</f>
        <v>#REF!</v>
      </c>
      <c r="BC48" t="e">
        <f>AND(#REF!,"AAAAAH96vzY=")</f>
        <v>#REF!</v>
      </c>
      <c r="BD48" t="e">
        <f>AND(#REF!,"AAAAAH96vzc=")</f>
        <v>#REF!</v>
      </c>
      <c r="BE48" t="e">
        <f>AND(#REF!,"AAAAAH96vzg=")</f>
        <v>#REF!</v>
      </c>
      <c r="BF48" t="e">
        <f>AND(#REF!,"AAAAAH96vzk=")</f>
        <v>#REF!</v>
      </c>
      <c r="BG48" t="e">
        <f>AND(#REF!,"AAAAAH96vzo=")</f>
        <v>#REF!</v>
      </c>
      <c r="BH48" t="e">
        <f>AND(#REF!,"AAAAAH96vzs=")</f>
        <v>#REF!</v>
      </c>
      <c r="BI48" t="e">
        <f>AND(#REF!,"AAAAAH96vzw=")</f>
        <v>#REF!</v>
      </c>
      <c r="BJ48" t="e">
        <f>AND(#REF!,"AAAAAH96vz0=")</f>
        <v>#REF!</v>
      </c>
      <c r="BK48" t="e">
        <f>AND(#REF!,"AAAAAH96vz4=")</f>
        <v>#REF!</v>
      </c>
      <c r="BL48" t="e">
        <f>AND(#REF!,"AAAAAH96vz8=")</f>
        <v>#REF!</v>
      </c>
      <c r="BM48" t="e">
        <f>AND(#REF!,"AAAAAH96v0A=")</f>
        <v>#REF!</v>
      </c>
      <c r="BN48" t="e">
        <f>AND(#REF!,"AAAAAH96v0E=")</f>
        <v>#REF!</v>
      </c>
      <c r="BO48" t="e">
        <f>AND(#REF!,"AAAAAH96v0I=")</f>
        <v>#REF!</v>
      </c>
      <c r="BP48" t="e">
        <f>AND(#REF!,"AAAAAH96v0M=")</f>
        <v>#REF!</v>
      </c>
      <c r="BQ48" t="e">
        <f>AND(#REF!,"AAAAAH96v0Q=")</f>
        <v>#REF!</v>
      </c>
      <c r="BR48" t="e">
        <f>IF(#REF!,"AAAAAH96v0U=",0)</f>
        <v>#REF!</v>
      </c>
      <c r="BS48" t="e">
        <f>AND(#REF!,"AAAAAH96v0Y=")</f>
        <v>#REF!</v>
      </c>
      <c r="BT48" t="e">
        <f>AND(#REF!,"AAAAAH96v0c=")</f>
        <v>#REF!</v>
      </c>
      <c r="BU48" t="e">
        <f>AND(#REF!,"AAAAAH96v0g=")</f>
        <v>#REF!</v>
      </c>
      <c r="BV48" t="e">
        <f>AND(#REF!,"AAAAAH96v0k=")</f>
        <v>#REF!</v>
      </c>
      <c r="BW48" t="e">
        <f>AND(#REF!,"AAAAAH96v0o=")</f>
        <v>#REF!</v>
      </c>
      <c r="BX48" t="e">
        <f>AND(#REF!,"AAAAAH96v0s=")</f>
        <v>#REF!</v>
      </c>
      <c r="BY48" t="e">
        <f>AND(#REF!,"AAAAAH96v0w=")</f>
        <v>#REF!</v>
      </c>
      <c r="BZ48" t="e">
        <f>AND(#REF!,"AAAAAH96v00=")</f>
        <v>#REF!</v>
      </c>
      <c r="CA48" t="e">
        <f>AND(#REF!,"AAAAAH96v04=")</f>
        <v>#REF!</v>
      </c>
      <c r="CB48" t="e">
        <f>AND(#REF!,"AAAAAH96v08=")</f>
        <v>#REF!</v>
      </c>
      <c r="CC48" t="e">
        <f>AND(#REF!,"AAAAAH96v1A=")</f>
        <v>#REF!</v>
      </c>
      <c r="CD48" t="e">
        <f>AND(#REF!,"AAAAAH96v1E=")</f>
        <v>#REF!</v>
      </c>
      <c r="CE48" t="e">
        <f>AND(#REF!,"AAAAAH96v1I=")</f>
        <v>#REF!</v>
      </c>
      <c r="CF48" t="e">
        <f>AND(#REF!,"AAAAAH96v1M=")</f>
        <v>#REF!</v>
      </c>
      <c r="CG48" t="e">
        <f>AND(#REF!,"AAAAAH96v1Q=")</f>
        <v>#REF!</v>
      </c>
      <c r="CH48" t="e">
        <f>AND(#REF!,"AAAAAH96v1U=")</f>
        <v>#REF!</v>
      </c>
      <c r="CI48" t="e">
        <f>AND(#REF!,"AAAAAH96v1Y=")</f>
        <v>#REF!</v>
      </c>
      <c r="CJ48" t="e">
        <f>AND(#REF!,"AAAAAH96v1c=")</f>
        <v>#REF!</v>
      </c>
      <c r="CK48" t="e">
        <f>AND(#REF!,"AAAAAH96v1g=")</f>
        <v>#REF!</v>
      </c>
      <c r="CL48" t="e">
        <f>AND(#REF!,"AAAAAH96v1k=")</f>
        <v>#REF!</v>
      </c>
      <c r="CM48" t="e">
        <f>AND(#REF!,"AAAAAH96v1o=")</f>
        <v>#REF!</v>
      </c>
      <c r="CN48" t="e">
        <f>AND(#REF!,"AAAAAH96v1s=")</f>
        <v>#REF!</v>
      </c>
      <c r="CO48" t="e">
        <f>AND(#REF!,"AAAAAH96v1w=")</f>
        <v>#REF!</v>
      </c>
      <c r="CP48" t="e">
        <f>IF(#REF!,"AAAAAH96v10=",0)</f>
        <v>#REF!</v>
      </c>
      <c r="CQ48" t="e">
        <f>AND(#REF!,"AAAAAH96v14=")</f>
        <v>#REF!</v>
      </c>
      <c r="CR48" t="e">
        <f>AND(#REF!,"AAAAAH96v18=")</f>
        <v>#REF!</v>
      </c>
      <c r="CS48" t="e">
        <f>AND(#REF!,"AAAAAH96v2A=")</f>
        <v>#REF!</v>
      </c>
      <c r="CT48" t="e">
        <f>AND(#REF!,"AAAAAH96v2E=")</f>
        <v>#REF!</v>
      </c>
      <c r="CU48" t="e">
        <f>AND(#REF!,"AAAAAH96v2I=")</f>
        <v>#REF!</v>
      </c>
      <c r="CV48" t="e">
        <f>AND(#REF!,"AAAAAH96v2M=")</f>
        <v>#REF!</v>
      </c>
      <c r="CW48" t="e">
        <f>AND(#REF!,"AAAAAH96v2Q=")</f>
        <v>#REF!</v>
      </c>
      <c r="CX48" t="e">
        <f>AND(#REF!,"AAAAAH96v2U=")</f>
        <v>#REF!</v>
      </c>
      <c r="CY48" t="e">
        <f>AND(#REF!,"AAAAAH96v2Y=")</f>
        <v>#REF!</v>
      </c>
      <c r="CZ48" t="e">
        <f>AND(#REF!,"AAAAAH96v2c=")</f>
        <v>#REF!</v>
      </c>
      <c r="DA48" t="e">
        <f>AND(#REF!,"AAAAAH96v2g=")</f>
        <v>#REF!</v>
      </c>
      <c r="DB48" t="e">
        <f>AND(#REF!,"AAAAAH96v2k=")</f>
        <v>#REF!</v>
      </c>
      <c r="DC48" t="e">
        <f>AND(#REF!,"AAAAAH96v2o=")</f>
        <v>#REF!</v>
      </c>
      <c r="DD48" t="e">
        <f>AND(#REF!,"AAAAAH96v2s=")</f>
        <v>#REF!</v>
      </c>
      <c r="DE48" t="e">
        <f>AND(#REF!,"AAAAAH96v2w=")</f>
        <v>#REF!</v>
      </c>
      <c r="DF48" t="e">
        <f>AND(#REF!,"AAAAAH96v20=")</f>
        <v>#REF!</v>
      </c>
      <c r="DG48" t="e">
        <f>AND(#REF!,"AAAAAH96v24=")</f>
        <v>#REF!</v>
      </c>
      <c r="DH48" t="e">
        <f>AND(#REF!,"AAAAAH96v28=")</f>
        <v>#REF!</v>
      </c>
      <c r="DI48" t="e">
        <f>AND(#REF!,"AAAAAH96v3A=")</f>
        <v>#REF!</v>
      </c>
      <c r="DJ48" t="e">
        <f>AND(#REF!,"AAAAAH96v3E=")</f>
        <v>#REF!</v>
      </c>
      <c r="DK48" t="e">
        <f>AND(#REF!,"AAAAAH96v3I=")</f>
        <v>#REF!</v>
      </c>
      <c r="DL48" t="e">
        <f>AND(#REF!,"AAAAAH96v3M=")</f>
        <v>#REF!</v>
      </c>
      <c r="DM48" t="e">
        <f>AND(#REF!,"AAAAAH96v3Q=")</f>
        <v>#REF!</v>
      </c>
      <c r="DN48" t="e">
        <f>IF(#REF!,"AAAAAH96v3U=",0)</f>
        <v>#REF!</v>
      </c>
      <c r="DO48" t="e">
        <f>AND(#REF!,"AAAAAH96v3Y=")</f>
        <v>#REF!</v>
      </c>
      <c r="DP48" t="e">
        <f>AND(#REF!,"AAAAAH96v3c=")</f>
        <v>#REF!</v>
      </c>
      <c r="DQ48" t="e">
        <f>AND(#REF!,"AAAAAH96v3g=")</f>
        <v>#REF!</v>
      </c>
      <c r="DR48" t="e">
        <f>AND(#REF!,"AAAAAH96v3k=")</f>
        <v>#REF!</v>
      </c>
      <c r="DS48" t="e">
        <f>AND(#REF!,"AAAAAH96v3o=")</f>
        <v>#REF!</v>
      </c>
      <c r="DT48" t="e">
        <f>AND(#REF!,"AAAAAH96v3s=")</f>
        <v>#REF!</v>
      </c>
      <c r="DU48" t="e">
        <f>AND(#REF!,"AAAAAH96v3w=")</f>
        <v>#REF!</v>
      </c>
      <c r="DV48" t="e">
        <f>AND(#REF!,"AAAAAH96v30=")</f>
        <v>#REF!</v>
      </c>
      <c r="DW48" t="e">
        <f>AND(#REF!,"AAAAAH96v34=")</f>
        <v>#REF!</v>
      </c>
      <c r="DX48" t="e">
        <f>AND(#REF!,"AAAAAH96v38=")</f>
        <v>#REF!</v>
      </c>
      <c r="DY48" t="e">
        <f>AND(#REF!,"AAAAAH96v4A=")</f>
        <v>#REF!</v>
      </c>
      <c r="DZ48" t="e">
        <f>AND(#REF!,"AAAAAH96v4E=")</f>
        <v>#REF!</v>
      </c>
      <c r="EA48" t="e">
        <f>AND(#REF!,"AAAAAH96v4I=")</f>
        <v>#REF!</v>
      </c>
      <c r="EB48" t="e">
        <f>AND(#REF!,"AAAAAH96v4M=")</f>
        <v>#REF!</v>
      </c>
      <c r="EC48" t="e">
        <f>AND(#REF!,"AAAAAH96v4Q=")</f>
        <v>#REF!</v>
      </c>
      <c r="ED48" t="e">
        <f>AND(#REF!,"AAAAAH96v4U=")</f>
        <v>#REF!</v>
      </c>
      <c r="EE48" t="e">
        <f>AND(#REF!,"AAAAAH96v4Y=")</f>
        <v>#REF!</v>
      </c>
      <c r="EF48" t="e">
        <f>AND(#REF!,"AAAAAH96v4c=")</f>
        <v>#REF!</v>
      </c>
      <c r="EG48" t="e">
        <f>AND(#REF!,"AAAAAH96v4g=")</f>
        <v>#REF!</v>
      </c>
      <c r="EH48" t="e">
        <f>AND(#REF!,"AAAAAH96v4k=")</f>
        <v>#REF!</v>
      </c>
      <c r="EI48" t="e">
        <f>AND(#REF!,"AAAAAH96v4o=")</f>
        <v>#REF!</v>
      </c>
      <c r="EJ48" t="e">
        <f>AND(#REF!,"AAAAAH96v4s=")</f>
        <v>#REF!</v>
      </c>
      <c r="EK48" t="e">
        <f>AND(#REF!,"AAAAAH96v4w=")</f>
        <v>#REF!</v>
      </c>
      <c r="EL48" t="e">
        <f>IF(#REF!,"AAAAAH96v40=",0)</f>
        <v>#REF!</v>
      </c>
      <c r="EM48" t="e">
        <f>AND(#REF!,"AAAAAH96v44=")</f>
        <v>#REF!</v>
      </c>
      <c r="EN48" t="e">
        <f>AND(#REF!,"AAAAAH96v48=")</f>
        <v>#REF!</v>
      </c>
      <c r="EO48" t="e">
        <f>AND(#REF!,"AAAAAH96v5A=")</f>
        <v>#REF!</v>
      </c>
      <c r="EP48" t="e">
        <f>AND(#REF!,"AAAAAH96v5E=")</f>
        <v>#REF!</v>
      </c>
      <c r="EQ48" t="e">
        <f>AND(#REF!,"AAAAAH96v5I=")</f>
        <v>#REF!</v>
      </c>
      <c r="ER48" t="e">
        <f>AND(#REF!,"AAAAAH96v5M=")</f>
        <v>#REF!</v>
      </c>
      <c r="ES48" t="e">
        <f>AND(#REF!,"AAAAAH96v5Q=")</f>
        <v>#REF!</v>
      </c>
      <c r="ET48" t="e">
        <f>AND(#REF!,"AAAAAH96v5U=")</f>
        <v>#REF!</v>
      </c>
      <c r="EU48" t="e">
        <f>AND(#REF!,"AAAAAH96v5Y=")</f>
        <v>#REF!</v>
      </c>
      <c r="EV48" t="e">
        <f>AND(#REF!,"AAAAAH96v5c=")</f>
        <v>#REF!</v>
      </c>
      <c r="EW48" t="e">
        <f>AND(#REF!,"AAAAAH96v5g=")</f>
        <v>#REF!</v>
      </c>
      <c r="EX48" t="e">
        <f>AND(#REF!,"AAAAAH96v5k=")</f>
        <v>#REF!</v>
      </c>
      <c r="EY48" t="e">
        <f>AND(#REF!,"AAAAAH96v5o=")</f>
        <v>#REF!</v>
      </c>
      <c r="EZ48" t="e">
        <f>AND(#REF!,"AAAAAH96v5s=")</f>
        <v>#REF!</v>
      </c>
      <c r="FA48" t="e">
        <f>AND(#REF!,"AAAAAH96v5w=")</f>
        <v>#REF!</v>
      </c>
      <c r="FB48" t="e">
        <f>AND(#REF!,"AAAAAH96v50=")</f>
        <v>#REF!</v>
      </c>
      <c r="FC48" t="e">
        <f>AND(#REF!,"AAAAAH96v54=")</f>
        <v>#REF!</v>
      </c>
      <c r="FD48" t="e">
        <f>AND(#REF!,"AAAAAH96v58=")</f>
        <v>#REF!</v>
      </c>
      <c r="FE48" t="e">
        <f>AND(#REF!,"AAAAAH96v6A=")</f>
        <v>#REF!</v>
      </c>
      <c r="FF48" t="e">
        <f>AND(#REF!,"AAAAAH96v6E=")</f>
        <v>#REF!</v>
      </c>
      <c r="FG48" t="e">
        <f>AND(#REF!,"AAAAAH96v6I=")</f>
        <v>#REF!</v>
      </c>
      <c r="FH48" t="e">
        <f>AND(#REF!,"AAAAAH96v6M=")</f>
        <v>#REF!</v>
      </c>
      <c r="FI48" t="e">
        <f>AND(#REF!,"AAAAAH96v6Q=")</f>
        <v>#REF!</v>
      </c>
      <c r="FJ48" t="e">
        <f>IF(#REF!,"AAAAAH96v6U=",0)</f>
        <v>#REF!</v>
      </c>
      <c r="FK48" t="e">
        <f>AND(#REF!,"AAAAAH96v6Y=")</f>
        <v>#REF!</v>
      </c>
      <c r="FL48" t="e">
        <f>AND(#REF!,"AAAAAH96v6c=")</f>
        <v>#REF!</v>
      </c>
      <c r="FM48" t="e">
        <f>AND(#REF!,"AAAAAH96v6g=")</f>
        <v>#REF!</v>
      </c>
      <c r="FN48" t="e">
        <f>AND(#REF!,"AAAAAH96v6k=")</f>
        <v>#REF!</v>
      </c>
      <c r="FO48" t="e">
        <f>AND(#REF!,"AAAAAH96v6o=")</f>
        <v>#REF!</v>
      </c>
      <c r="FP48" t="e">
        <f>AND(#REF!,"AAAAAH96v6s=")</f>
        <v>#REF!</v>
      </c>
      <c r="FQ48" t="e">
        <f>AND(#REF!,"AAAAAH96v6w=")</f>
        <v>#REF!</v>
      </c>
      <c r="FR48" t="e">
        <f>AND(#REF!,"AAAAAH96v60=")</f>
        <v>#REF!</v>
      </c>
      <c r="FS48" t="e">
        <f>AND(#REF!,"AAAAAH96v64=")</f>
        <v>#REF!</v>
      </c>
      <c r="FT48" t="e">
        <f>AND(#REF!,"AAAAAH96v68=")</f>
        <v>#REF!</v>
      </c>
      <c r="FU48" t="e">
        <f>AND(#REF!,"AAAAAH96v7A=")</f>
        <v>#REF!</v>
      </c>
      <c r="FV48" t="e">
        <f>AND(#REF!,"AAAAAH96v7E=")</f>
        <v>#REF!</v>
      </c>
      <c r="FW48" t="e">
        <f>AND(#REF!,"AAAAAH96v7I=")</f>
        <v>#REF!</v>
      </c>
      <c r="FX48" t="e">
        <f>AND(#REF!,"AAAAAH96v7M=")</f>
        <v>#REF!</v>
      </c>
      <c r="FY48" t="e">
        <f>AND(#REF!,"AAAAAH96v7Q=")</f>
        <v>#REF!</v>
      </c>
      <c r="FZ48" t="e">
        <f>AND(#REF!,"AAAAAH96v7U=")</f>
        <v>#REF!</v>
      </c>
      <c r="GA48" t="e">
        <f>AND(#REF!,"AAAAAH96v7Y=")</f>
        <v>#REF!</v>
      </c>
      <c r="GB48" t="e">
        <f>AND(#REF!,"AAAAAH96v7c=")</f>
        <v>#REF!</v>
      </c>
      <c r="GC48" t="e">
        <f>AND(#REF!,"AAAAAH96v7g=")</f>
        <v>#REF!</v>
      </c>
      <c r="GD48" t="e">
        <f>AND(#REF!,"AAAAAH96v7k=")</f>
        <v>#REF!</v>
      </c>
      <c r="GE48" t="e">
        <f>AND(#REF!,"AAAAAH96v7o=")</f>
        <v>#REF!</v>
      </c>
      <c r="GF48" t="e">
        <f>AND(#REF!,"AAAAAH96v7s=")</f>
        <v>#REF!</v>
      </c>
      <c r="GG48" t="e">
        <f>AND(#REF!,"AAAAAH96v7w=")</f>
        <v>#REF!</v>
      </c>
      <c r="GH48" t="e">
        <f>IF(#REF!,"AAAAAH96v70=",0)</f>
        <v>#REF!</v>
      </c>
      <c r="GI48" t="e">
        <f>AND(#REF!,"AAAAAH96v74=")</f>
        <v>#REF!</v>
      </c>
      <c r="GJ48" t="e">
        <f>AND(#REF!,"AAAAAH96v78=")</f>
        <v>#REF!</v>
      </c>
      <c r="GK48" t="e">
        <f>AND(#REF!,"AAAAAH96v8A=")</f>
        <v>#REF!</v>
      </c>
      <c r="GL48" t="e">
        <f>AND(#REF!,"AAAAAH96v8E=")</f>
        <v>#REF!</v>
      </c>
      <c r="GM48" t="e">
        <f>AND(#REF!,"AAAAAH96v8I=")</f>
        <v>#REF!</v>
      </c>
      <c r="GN48" t="e">
        <f>AND(#REF!,"AAAAAH96v8M=")</f>
        <v>#REF!</v>
      </c>
      <c r="GO48" t="e">
        <f>AND(#REF!,"AAAAAH96v8Q=")</f>
        <v>#REF!</v>
      </c>
      <c r="GP48" t="e">
        <f>AND(#REF!,"AAAAAH96v8U=")</f>
        <v>#REF!</v>
      </c>
      <c r="GQ48" t="e">
        <f>AND(#REF!,"AAAAAH96v8Y=")</f>
        <v>#REF!</v>
      </c>
      <c r="GR48" t="e">
        <f>AND(#REF!,"AAAAAH96v8c=")</f>
        <v>#REF!</v>
      </c>
      <c r="GS48" t="e">
        <f>AND(#REF!,"AAAAAH96v8g=")</f>
        <v>#REF!</v>
      </c>
      <c r="GT48" t="e">
        <f>AND(#REF!,"AAAAAH96v8k=")</f>
        <v>#REF!</v>
      </c>
      <c r="GU48" t="e">
        <f>AND(#REF!,"AAAAAH96v8o=")</f>
        <v>#REF!</v>
      </c>
      <c r="GV48" t="e">
        <f>AND(#REF!,"AAAAAH96v8s=")</f>
        <v>#REF!</v>
      </c>
      <c r="GW48" t="e">
        <f>AND(#REF!,"AAAAAH96v8w=")</f>
        <v>#REF!</v>
      </c>
      <c r="GX48" t="e">
        <f>AND(#REF!,"AAAAAH96v80=")</f>
        <v>#REF!</v>
      </c>
      <c r="GY48" t="e">
        <f>AND(#REF!,"AAAAAH96v84=")</f>
        <v>#REF!</v>
      </c>
      <c r="GZ48" t="e">
        <f>AND(#REF!,"AAAAAH96v88=")</f>
        <v>#REF!</v>
      </c>
      <c r="HA48" t="e">
        <f>AND(#REF!,"AAAAAH96v9A=")</f>
        <v>#REF!</v>
      </c>
      <c r="HB48" t="e">
        <f>AND(#REF!,"AAAAAH96v9E=")</f>
        <v>#REF!</v>
      </c>
      <c r="HC48" t="e">
        <f>AND(#REF!,"AAAAAH96v9I=")</f>
        <v>#REF!</v>
      </c>
      <c r="HD48" t="e">
        <f>AND(#REF!,"AAAAAH96v9M=")</f>
        <v>#REF!</v>
      </c>
      <c r="HE48" t="e">
        <f>AND(#REF!,"AAAAAH96v9Q=")</f>
        <v>#REF!</v>
      </c>
      <c r="HF48" t="e">
        <f>IF(#REF!,"AAAAAH96v9U=",0)</f>
        <v>#REF!</v>
      </c>
      <c r="HG48" t="e">
        <f>AND(#REF!,"AAAAAH96v9Y=")</f>
        <v>#REF!</v>
      </c>
      <c r="HH48" t="e">
        <f>AND(#REF!,"AAAAAH96v9c=")</f>
        <v>#REF!</v>
      </c>
      <c r="HI48" t="e">
        <f>AND(#REF!,"AAAAAH96v9g=")</f>
        <v>#REF!</v>
      </c>
      <c r="HJ48" t="e">
        <f>AND(#REF!,"AAAAAH96v9k=")</f>
        <v>#REF!</v>
      </c>
      <c r="HK48" t="e">
        <f>AND(#REF!,"AAAAAH96v9o=")</f>
        <v>#REF!</v>
      </c>
      <c r="HL48" t="e">
        <f>AND(#REF!,"AAAAAH96v9s=")</f>
        <v>#REF!</v>
      </c>
      <c r="HM48" t="e">
        <f>AND(#REF!,"AAAAAH96v9w=")</f>
        <v>#REF!</v>
      </c>
      <c r="HN48" t="e">
        <f>AND(#REF!,"AAAAAH96v90=")</f>
        <v>#REF!</v>
      </c>
      <c r="HO48" t="e">
        <f>AND(#REF!,"AAAAAH96v94=")</f>
        <v>#REF!</v>
      </c>
      <c r="HP48" t="e">
        <f>AND(#REF!,"AAAAAH96v98=")</f>
        <v>#REF!</v>
      </c>
      <c r="HQ48" t="e">
        <f>AND(#REF!,"AAAAAH96v+A=")</f>
        <v>#REF!</v>
      </c>
      <c r="HR48" t="e">
        <f>AND(#REF!,"AAAAAH96v+E=")</f>
        <v>#REF!</v>
      </c>
      <c r="HS48" t="e">
        <f>AND(#REF!,"AAAAAH96v+I=")</f>
        <v>#REF!</v>
      </c>
      <c r="HT48" t="e">
        <f>AND(#REF!,"AAAAAH96v+M=")</f>
        <v>#REF!</v>
      </c>
      <c r="HU48" t="e">
        <f>AND(#REF!,"AAAAAH96v+Q=")</f>
        <v>#REF!</v>
      </c>
      <c r="HV48" t="e">
        <f>AND(#REF!,"AAAAAH96v+U=")</f>
        <v>#REF!</v>
      </c>
      <c r="HW48" t="e">
        <f>AND(#REF!,"AAAAAH96v+Y=")</f>
        <v>#REF!</v>
      </c>
      <c r="HX48" t="e">
        <f>AND(#REF!,"AAAAAH96v+c=")</f>
        <v>#REF!</v>
      </c>
      <c r="HY48" t="e">
        <f>AND(#REF!,"AAAAAH96v+g=")</f>
        <v>#REF!</v>
      </c>
      <c r="HZ48" t="e">
        <f>AND(#REF!,"AAAAAH96v+k=")</f>
        <v>#REF!</v>
      </c>
      <c r="IA48" t="e">
        <f>AND(#REF!,"AAAAAH96v+o=")</f>
        <v>#REF!</v>
      </c>
      <c r="IB48" t="e">
        <f>AND(#REF!,"AAAAAH96v+s=")</f>
        <v>#REF!</v>
      </c>
      <c r="IC48" t="e">
        <f>AND(#REF!,"AAAAAH96v+w=")</f>
        <v>#REF!</v>
      </c>
      <c r="ID48" t="e">
        <f>IF(#REF!,"AAAAAH96v+0=",0)</f>
        <v>#REF!</v>
      </c>
      <c r="IE48" t="e">
        <f>AND(#REF!,"AAAAAH96v+4=")</f>
        <v>#REF!</v>
      </c>
      <c r="IF48" t="e">
        <f>AND(#REF!,"AAAAAH96v+8=")</f>
        <v>#REF!</v>
      </c>
      <c r="IG48" t="e">
        <f>AND(#REF!,"AAAAAH96v/A=")</f>
        <v>#REF!</v>
      </c>
      <c r="IH48" t="e">
        <f>AND(#REF!,"AAAAAH96v/E=")</f>
        <v>#REF!</v>
      </c>
      <c r="II48" t="e">
        <f>AND(#REF!,"AAAAAH96v/I=")</f>
        <v>#REF!</v>
      </c>
      <c r="IJ48" t="e">
        <f>AND(#REF!,"AAAAAH96v/M=")</f>
        <v>#REF!</v>
      </c>
      <c r="IK48" t="e">
        <f>AND(#REF!,"AAAAAH96v/Q=")</f>
        <v>#REF!</v>
      </c>
      <c r="IL48" t="e">
        <f>AND(#REF!,"AAAAAH96v/U=")</f>
        <v>#REF!</v>
      </c>
      <c r="IM48" t="e">
        <f>AND(#REF!,"AAAAAH96v/Y=")</f>
        <v>#REF!</v>
      </c>
      <c r="IN48" t="e">
        <f>AND(#REF!,"AAAAAH96v/c=")</f>
        <v>#REF!</v>
      </c>
      <c r="IO48" t="e">
        <f>AND(#REF!,"AAAAAH96v/g=")</f>
        <v>#REF!</v>
      </c>
      <c r="IP48" t="e">
        <f>AND(#REF!,"AAAAAH96v/k=")</f>
        <v>#REF!</v>
      </c>
      <c r="IQ48" t="e">
        <f>AND(#REF!,"AAAAAH96v/o=")</f>
        <v>#REF!</v>
      </c>
      <c r="IR48" t="e">
        <f>AND(#REF!,"AAAAAH96v/s=")</f>
        <v>#REF!</v>
      </c>
      <c r="IS48" t="e">
        <f>AND(#REF!,"AAAAAH96v/w=")</f>
        <v>#REF!</v>
      </c>
      <c r="IT48" t="e">
        <f>AND(#REF!,"AAAAAH96v/0=")</f>
        <v>#REF!</v>
      </c>
      <c r="IU48" t="e">
        <f>AND(#REF!,"AAAAAH96v/4=")</f>
        <v>#REF!</v>
      </c>
      <c r="IV48" t="e">
        <f>AND(#REF!,"AAAAAH96v/8=")</f>
        <v>#REF!</v>
      </c>
    </row>
    <row r="49" spans="1:256" x14ac:dyDescent="0.15">
      <c r="A49" t="e">
        <f>AND(#REF!,"AAAAAG733gA=")</f>
        <v>#REF!</v>
      </c>
      <c r="B49" t="e">
        <f>AND(#REF!,"AAAAAG733gE=")</f>
        <v>#REF!</v>
      </c>
      <c r="C49" t="e">
        <f>AND(#REF!,"AAAAAG733gI=")</f>
        <v>#REF!</v>
      </c>
      <c r="D49" t="e">
        <f>AND(#REF!,"AAAAAG733gM=")</f>
        <v>#REF!</v>
      </c>
      <c r="E49" t="e">
        <f>AND(#REF!,"AAAAAG733gQ=")</f>
        <v>#REF!</v>
      </c>
      <c r="F49" t="e">
        <f>IF(#REF!,"AAAAAG733gU=",0)</f>
        <v>#REF!</v>
      </c>
      <c r="G49" t="e">
        <f>AND(#REF!,"AAAAAG733gY=")</f>
        <v>#REF!</v>
      </c>
      <c r="H49" t="e">
        <f>AND(#REF!,"AAAAAG733gc=")</f>
        <v>#REF!</v>
      </c>
      <c r="I49" t="e">
        <f>AND(#REF!,"AAAAAG733gg=")</f>
        <v>#REF!</v>
      </c>
      <c r="J49" t="e">
        <f>AND(#REF!,"AAAAAG733gk=")</f>
        <v>#REF!</v>
      </c>
      <c r="K49" t="e">
        <f>AND(#REF!,"AAAAAG733go=")</f>
        <v>#REF!</v>
      </c>
      <c r="L49" t="e">
        <f>AND(#REF!,"AAAAAG733gs=")</f>
        <v>#REF!</v>
      </c>
      <c r="M49" t="e">
        <f>AND(#REF!,"AAAAAG733gw=")</f>
        <v>#REF!</v>
      </c>
      <c r="N49" t="e">
        <f>AND(#REF!,"AAAAAG733g0=")</f>
        <v>#REF!</v>
      </c>
      <c r="O49" t="e">
        <f>AND(#REF!,"AAAAAG733g4=")</f>
        <v>#REF!</v>
      </c>
      <c r="P49" t="e">
        <f>AND(#REF!,"AAAAAG733g8=")</f>
        <v>#REF!</v>
      </c>
      <c r="Q49" t="e">
        <f>AND(#REF!,"AAAAAG733hA=")</f>
        <v>#REF!</v>
      </c>
      <c r="R49" t="e">
        <f>AND(#REF!,"AAAAAG733hE=")</f>
        <v>#REF!</v>
      </c>
      <c r="S49" t="e">
        <f>AND(#REF!,"AAAAAG733hI=")</f>
        <v>#REF!</v>
      </c>
      <c r="T49" t="e">
        <f>AND(#REF!,"AAAAAG733hM=")</f>
        <v>#REF!</v>
      </c>
      <c r="U49" t="e">
        <f>AND(#REF!,"AAAAAG733hQ=")</f>
        <v>#REF!</v>
      </c>
      <c r="V49" t="e">
        <f>AND(#REF!,"AAAAAG733hU=")</f>
        <v>#REF!</v>
      </c>
      <c r="W49" t="e">
        <f>AND(#REF!,"AAAAAG733hY=")</f>
        <v>#REF!</v>
      </c>
      <c r="X49" t="e">
        <f>AND(#REF!,"AAAAAG733hc=")</f>
        <v>#REF!</v>
      </c>
      <c r="Y49" t="e">
        <f>AND(#REF!,"AAAAAG733hg=")</f>
        <v>#REF!</v>
      </c>
      <c r="Z49" t="e">
        <f>AND(#REF!,"AAAAAG733hk=")</f>
        <v>#REF!</v>
      </c>
      <c r="AA49" t="e">
        <f>AND(#REF!,"AAAAAG733ho=")</f>
        <v>#REF!</v>
      </c>
      <c r="AB49" t="e">
        <f>AND(#REF!,"AAAAAG733hs=")</f>
        <v>#REF!</v>
      </c>
      <c r="AC49" t="e">
        <f>AND(#REF!,"AAAAAG733hw=")</f>
        <v>#REF!</v>
      </c>
      <c r="AD49" t="e">
        <f>IF(#REF!,"AAAAAG733h0=",0)</f>
        <v>#REF!</v>
      </c>
      <c r="AE49" t="e">
        <f>AND(#REF!,"AAAAAG733h4=")</f>
        <v>#REF!</v>
      </c>
      <c r="AF49" t="e">
        <f>AND(#REF!,"AAAAAG733h8=")</f>
        <v>#REF!</v>
      </c>
      <c r="AG49" t="e">
        <f>AND(#REF!,"AAAAAG733iA=")</f>
        <v>#REF!</v>
      </c>
      <c r="AH49" t="e">
        <f>AND(#REF!,"AAAAAG733iE=")</f>
        <v>#REF!</v>
      </c>
      <c r="AI49" t="e">
        <f>AND(#REF!,"AAAAAG733iI=")</f>
        <v>#REF!</v>
      </c>
      <c r="AJ49" t="e">
        <f>AND(#REF!,"AAAAAG733iM=")</f>
        <v>#REF!</v>
      </c>
      <c r="AK49" t="e">
        <f>AND(#REF!,"AAAAAG733iQ=")</f>
        <v>#REF!</v>
      </c>
      <c r="AL49" t="e">
        <f>AND(#REF!,"AAAAAG733iU=")</f>
        <v>#REF!</v>
      </c>
      <c r="AM49" t="e">
        <f>AND(#REF!,"AAAAAG733iY=")</f>
        <v>#REF!</v>
      </c>
      <c r="AN49" t="e">
        <f>AND(#REF!,"AAAAAG733ic=")</f>
        <v>#REF!</v>
      </c>
      <c r="AO49" t="e">
        <f>AND(#REF!,"AAAAAG733ig=")</f>
        <v>#REF!</v>
      </c>
      <c r="AP49" t="e">
        <f>AND(#REF!,"AAAAAG733ik=")</f>
        <v>#REF!</v>
      </c>
      <c r="AQ49" t="e">
        <f>AND(#REF!,"AAAAAG733io=")</f>
        <v>#REF!</v>
      </c>
      <c r="AR49" t="e">
        <f>AND(#REF!,"AAAAAG733is=")</f>
        <v>#REF!</v>
      </c>
      <c r="AS49" t="e">
        <f>AND(#REF!,"AAAAAG733iw=")</f>
        <v>#REF!</v>
      </c>
      <c r="AT49" t="e">
        <f>AND(#REF!,"AAAAAG733i0=")</f>
        <v>#REF!</v>
      </c>
      <c r="AU49" t="e">
        <f>AND(#REF!,"AAAAAG733i4=")</f>
        <v>#REF!</v>
      </c>
      <c r="AV49" t="e">
        <f>AND(#REF!,"AAAAAG733i8=")</f>
        <v>#REF!</v>
      </c>
      <c r="AW49" t="e">
        <f>AND(#REF!,"AAAAAG733jA=")</f>
        <v>#REF!</v>
      </c>
      <c r="AX49" t="e">
        <f>AND(#REF!,"AAAAAG733jE=")</f>
        <v>#REF!</v>
      </c>
      <c r="AY49" t="e">
        <f>AND(#REF!,"AAAAAG733jI=")</f>
        <v>#REF!</v>
      </c>
      <c r="AZ49" t="e">
        <f>AND(#REF!,"AAAAAG733jM=")</f>
        <v>#REF!</v>
      </c>
      <c r="BA49" t="e">
        <f>AND(#REF!,"AAAAAG733jQ=")</f>
        <v>#REF!</v>
      </c>
      <c r="BB49" t="e">
        <f>IF(#REF!,"AAAAAG733jU=",0)</f>
        <v>#REF!</v>
      </c>
      <c r="BC49" t="e">
        <f>AND(#REF!,"AAAAAG733jY=")</f>
        <v>#REF!</v>
      </c>
      <c r="BD49" t="e">
        <f>AND(#REF!,"AAAAAG733jc=")</f>
        <v>#REF!</v>
      </c>
      <c r="BE49" t="e">
        <f>AND(#REF!,"AAAAAG733jg=")</f>
        <v>#REF!</v>
      </c>
      <c r="BF49" t="e">
        <f>AND(#REF!,"AAAAAG733jk=")</f>
        <v>#REF!</v>
      </c>
      <c r="BG49" t="e">
        <f>AND(#REF!,"AAAAAG733jo=")</f>
        <v>#REF!</v>
      </c>
      <c r="BH49" t="e">
        <f>AND(#REF!,"AAAAAG733js=")</f>
        <v>#REF!</v>
      </c>
      <c r="BI49" t="e">
        <f>AND(#REF!,"AAAAAG733jw=")</f>
        <v>#REF!</v>
      </c>
      <c r="BJ49" t="e">
        <f>AND(#REF!,"AAAAAG733j0=")</f>
        <v>#REF!</v>
      </c>
      <c r="BK49" t="e">
        <f>AND(#REF!,"AAAAAG733j4=")</f>
        <v>#REF!</v>
      </c>
      <c r="BL49" t="e">
        <f>AND(#REF!,"AAAAAG733j8=")</f>
        <v>#REF!</v>
      </c>
      <c r="BM49" t="e">
        <f>AND(#REF!,"AAAAAG733kA=")</f>
        <v>#REF!</v>
      </c>
      <c r="BN49" t="e">
        <f>AND(#REF!,"AAAAAG733kE=")</f>
        <v>#REF!</v>
      </c>
      <c r="BO49" t="e">
        <f>AND(#REF!,"AAAAAG733kI=")</f>
        <v>#REF!</v>
      </c>
      <c r="BP49" t="e">
        <f>AND(#REF!,"AAAAAG733kM=")</f>
        <v>#REF!</v>
      </c>
      <c r="BQ49" t="e">
        <f>AND(#REF!,"AAAAAG733kQ=")</f>
        <v>#REF!</v>
      </c>
      <c r="BR49" t="e">
        <f>AND(#REF!,"AAAAAG733kU=")</f>
        <v>#REF!</v>
      </c>
      <c r="BS49" t="e">
        <f>AND(#REF!,"AAAAAG733kY=")</f>
        <v>#REF!</v>
      </c>
      <c r="BT49" t="e">
        <f>AND(#REF!,"AAAAAG733kc=")</f>
        <v>#REF!</v>
      </c>
      <c r="BU49" t="e">
        <f>AND(#REF!,"AAAAAG733kg=")</f>
        <v>#REF!</v>
      </c>
      <c r="BV49" t="e">
        <f>AND(#REF!,"AAAAAG733kk=")</f>
        <v>#REF!</v>
      </c>
      <c r="BW49" t="e">
        <f>AND(#REF!,"AAAAAG733ko=")</f>
        <v>#REF!</v>
      </c>
      <c r="BX49" t="e">
        <f>AND(#REF!,"AAAAAG733ks=")</f>
        <v>#REF!</v>
      </c>
      <c r="BY49" t="e">
        <f>AND(#REF!,"AAAAAG733kw=")</f>
        <v>#REF!</v>
      </c>
      <c r="BZ49" t="e">
        <f>IF(#REF!,"AAAAAG733k0=",0)</f>
        <v>#REF!</v>
      </c>
      <c r="CA49" t="e">
        <f>AND(#REF!,"AAAAAG733k4=")</f>
        <v>#REF!</v>
      </c>
      <c r="CB49" t="e">
        <f>AND(#REF!,"AAAAAG733k8=")</f>
        <v>#REF!</v>
      </c>
      <c r="CC49" t="e">
        <f>AND(#REF!,"AAAAAG733lA=")</f>
        <v>#REF!</v>
      </c>
      <c r="CD49" t="e">
        <f>AND(#REF!,"AAAAAG733lE=")</f>
        <v>#REF!</v>
      </c>
      <c r="CE49" t="e">
        <f>AND(#REF!,"AAAAAG733lI=")</f>
        <v>#REF!</v>
      </c>
      <c r="CF49" t="e">
        <f>AND(#REF!,"AAAAAG733lM=")</f>
        <v>#REF!</v>
      </c>
      <c r="CG49" t="e">
        <f>AND(#REF!,"AAAAAG733lQ=")</f>
        <v>#REF!</v>
      </c>
      <c r="CH49" t="e">
        <f>AND(#REF!,"AAAAAG733lU=")</f>
        <v>#REF!</v>
      </c>
      <c r="CI49" t="e">
        <f>AND(#REF!,"AAAAAG733lY=")</f>
        <v>#REF!</v>
      </c>
      <c r="CJ49" t="e">
        <f>AND(#REF!,"AAAAAG733lc=")</f>
        <v>#REF!</v>
      </c>
      <c r="CK49" t="e">
        <f>AND(#REF!,"AAAAAG733lg=")</f>
        <v>#REF!</v>
      </c>
      <c r="CL49" t="e">
        <f>AND(#REF!,"AAAAAG733lk=")</f>
        <v>#REF!</v>
      </c>
      <c r="CM49" t="e">
        <f>AND(#REF!,"AAAAAG733lo=")</f>
        <v>#REF!</v>
      </c>
      <c r="CN49" t="e">
        <f>AND(#REF!,"AAAAAG733ls=")</f>
        <v>#REF!</v>
      </c>
      <c r="CO49" t="e">
        <f>AND(#REF!,"AAAAAG733lw=")</f>
        <v>#REF!</v>
      </c>
      <c r="CP49" t="e">
        <f>AND(#REF!,"AAAAAG733l0=")</f>
        <v>#REF!</v>
      </c>
      <c r="CQ49" t="e">
        <f>AND(#REF!,"AAAAAG733l4=")</f>
        <v>#REF!</v>
      </c>
      <c r="CR49" t="e">
        <f>AND(#REF!,"AAAAAG733l8=")</f>
        <v>#REF!</v>
      </c>
      <c r="CS49" t="e">
        <f>AND(#REF!,"AAAAAG733mA=")</f>
        <v>#REF!</v>
      </c>
      <c r="CT49" t="e">
        <f>AND(#REF!,"AAAAAG733mE=")</f>
        <v>#REF!</v>
      </c>
      <c r="CU49" t="e">
        <f>AND(#REF!,"AAAAAG733mI=")</f>
        <v>#REF!</v>
      </c>
      <c r="CV49" t="e">
        <f>AND(#REF!,"AAAAAG733mM=")</f>
        <v>#REF!</v>
      </c>
      <c r="CW49" t="e">
        <f>AND(#REF!,"AAAAAG733mQ=")</f>
        <v>#REF!</v>
      </c>
      <c r="CX49" t="e">
        <f>IF(#REF!,"AAAAAG733mU=",0)</f>
        <v>#REF!</v>
      </c>
      <c r="CY49" t="e">
        <f>AND(#REF!,"AAAAAG733mY=")</f>
        <v>#REF!</v>
      </c>
      <c r="CZ49" t="e">
        <f>AND(#REF!,"AAAAAG733mc=")</f>
        <v>#REF!</v>
      </c>
      <c r="DA49" t="e">
        <f>AND(#REF!,"AAAAAG733mg=")</f>
        <v>#REF!</v>
      </c>
      <c r="DB49" t="e">
        <f>AND(#REF!,"AAAAAG733mk=")</f>
        <v>#REF!</v>
      </c>
      <c r="DC49" t="e">
        <f>AND(#REF!,"AAAAAG733mo=")</f>
        <v>#REF!</v>
      </c>
      <c r="DD49" t="e">
        <f>AND(#REF!,"AAAAAG733ms=")</f>
        <v>#REF!</v>
      </c>
      <c r="DE49" t="e">
        <f>AND(#REF!,"AAAAAG733mw=")</f>
        <v>#REF!</v>
      </c>
      <c r="DF49" t="e">
        <f>AND(#REF!,"AAAAAG733m0=")</f>
        <v>#REF!</v>
      </c>
      <c r="DG49" t="e">
        <f>AND(#REF!,"AAAAAG733m4=")</f>
        <v>#REF!</v>
      </c>
      <c r="DH49" t="e">
        <f>AND(#REF!,"AAAAAG733m8=")</f>
        <v>#REF!</v>
      </c>
      <c r="DI49" t="e">
        <f>AND(#REF!,"AAAAAG733nA=")</f>
        <v>#REF!</v>
      </c>
      <c r="DJ49" t="e">
        <f>AND(#REF!,"AAAAAG733nE=")</f>
        <v>#REF!</v>
      </c>
      <c r="DK49" t="e">
        <f>AND(#REF!,"AAAAAG733nI=")</f>
        <v>#REF!</v>
      </c>
      <c r="DL49" t="e">
        <f>AND(#REF!,"AAAAAG733nM=")</f>
        <v>#REF!</v>
      </c>
      <c r="DM49" t="e">
        <f>AND(#REF!,"AAAAAG733nQ=")</f>
        <v>#REF!</v>
      </c>
      <c r="DN49" t="e">
        <f>AND(#REF!,"AAAAAG733nU=")</f>
        <v>#REF!</v>
      </c>
      <c r="DO49" t="e">
        <f>AND(#REF!,"AAAAAG733nY=")</f>
        <v>#REF!</v>
      </c>
      <c r="DP49" t="e">
        <f>AND(#REF!,"AAAAAG733nc=")</f>
        <v>#REF!</v>
      </c>
      <c r="DQ49" t="e">
        <f>AND(#REF!,"AAAAAG733ng=")</f>
        <v>#REF!</v>
      </c>
      <c r="DR49" t="e">
        <f>AND(#REF!,"AAAAAG733nk=")</f>
        <v>#REF!</v>
      </c>
      <c r="DS49" t="e">
        <f>AND(#REF!,"AAAAAG733no=")</f>
        <v>#REF!</v>
      </c>
      <c r="DT49" t="e">
        <f>AND(#REF!,"AAAAAG733ns=")</f>
        <v>#REF!</v>
      </c>
      <c r="DU49" t="e">
        <f>AND(#REF!,"AAAAAG733nw=")</f>
        <v>#REF!</v>
      </c>
      <c r="DV49" t="e">
        <f>IF(#REF!,"AAAAAG733n0=",0)</f>
        <v>#REF!</v>
      </c>
      <c r="DW49" t="e">
        <f>AND(#REF!,"AAAAAG733n4=")</f>
        <v>#REF!</v>
      </c>
      <c r="DX49" t="e">
        <f>AND(#REF!,"AAAAAG733n8=")</f>
        <v>#REF!</v>
      </c>
      <c r="DY49" t="e">
        <f>AND(#REF!,"AAAAAG733oA=")</f>
        <v>#REF!</v>
      </c>
      <c r="DZ49" t="e">
        <f>AND(#REF!,"AAAAAG733oE=")</f>
        <v>#REF!</v>
      </c>
      <c r="EA49" t="e">
        <f>AND(#REF!,"AAAAAG733oI=")</f>
        <v>#REF!</v>
      </c>
      <c r="EB49" t="e">
        <f>AND(#REF!,"AAAAAG733oM=")</f>
        <v>#REF!</v>
      </c>
      <c r="EC49" t="e">
        <f>AND(#REF!,"AAAAAG733oQ=")</f>
        <v>#REF!</v>
      </c>
      <c r="ED49" t="e">
        <f>AND(#REF!,"AAAAAG733oU=")</f>
        <v>#REF!</v>
      </c>
      <c r="EE49" t="e">
        <f>AND(#REF!,"AAAAAG733oY=")</f>
        <v>#REF!</v>
      </c>
      <c r="EF49" t="e">
        <f>AND(#REF!,"AAAAAG733oc=")</f>
        <v>#REF!</v>
      </c>
      <c r="EG49" t="e">
        <f>AND(#REF!,"AAAAAG733og=")</f>
        <v>#REF!</v>
      </c>
      <c r="EH49" t="e">
        <f>AND(#REF!,"AAAAAG733ok=")</f>
        <v>#REF!</v>
      </c>
      <c r="EI49" t="e">
        <f>AND(#REF!,"AAAAAG733oo=")</f>
        <v>#REF!</v>
      </c>
      <c r="EJ49" t="e">
        <f>AND(#REF!,"AAAAAG733os=")</f>
        <v>#REF!</v>
      </c>
      <c r="EK49" t="e">
        <f>AND(#REF!,"AAAAAG733ow=")</f>
        <v>#REF!</v>
      </c>
      <c r="EL49" t="e">
        <f>AND(#REF!,"AAAAAG733o0=")</f>
        <v>#REF!</v>
      </c>
      <c r="EM49" t="e">
        <f>AND(#REF!,"AAAAAG733o4=")</f>
        <v>#REF!</v>
      </c>
      <c r="EN49" t="e">
        <f>AND(#REF!,"AAAAAG733o8=")</f>
        <v>#REF!</v>
      </c>
      <c r="EO49" t="e">
        <f>AND(#REF!,"AAAAAG733pA=")</f>
        <v>#REF!</v>
      </c>
      <c r="EP49" t="e">
        <f>AND(#REF!,"AAAAAG733pE=")</f>
        <v>#REF!</v>
      </c>
      <c r="EQ49" t="e">
        <f>AND(#REF!,"AAAAAG733pI=")</f>
        <v>#REF!</v>
      </c>
      <c r="ER49" t="e">
        <f>AND(#REF!,"AAAAAG733pM=")</f>
        <v>#REF!</v>
      </c>
      <c r="ES49" t="e">
        <f>AND(#REF!,"AAAAAG733pQ=")</f>
        <v>#REF!</v>
      </c>
      <c r="ET49" t="e">
        <f>IF(#REF!,"AAAAAG733pU=",0)</f>
        <v>#REF!</v>
      </c>
      <c r="EU49" t="e">
        <f>AND(#REF!,"AAAAAG733pY=")</f>
        <v>#REF!</v>
      </c>
      <c r="EV49" t="e">
        <f>AND(#REF!,"AAAAAG733pc=")</f>
        <v>#REF!</v>
      </c>
      <c r="EW49" t="e">
        <f>AND(#REF!,"AAAAAG733pg=")</f>
        <v>#REF!</v>
      </c>
      <c r="EX49" t="e">
        <f>AND(#REF!,"AAAAAG733pk=")</f>
        <v>#REF!</v>
      </c>
      <c r="EY49" t="e">
        <f>AND(#REF!,"AAAAAG733po=")</f>
        <v>#REF!</v>
      </c>
      <c r="EZ49" t="e">
        <f>AND(#REF!,"AAAAAG733ps=")</f>
        <v>#REF!</v>
      </c>
      <c r="FA49" t="e">
        <f>AND(#REF!,"AAAAAG733pw=")</f>
        <v>#REF!</v>
      </c>
      <c r="FB49" t="e">
        <f>AND(#REF!,"AAAAAG733p0=")</f>
        <v>#REF!</v>
      </c>
      <c r="FC49" t="e">
        <f>AND(#REF!,"AAAAAG733p4=")</f>
        <v>#REF!</v>
      </c>
      <c r="FD49" t="e">
        <f>AND(#REF!,"AAAAAG733p8=")</f>
        <v>#REF!</v>
      </c>
      <c r="FE49" t="e">
        <f>AND(#REF!,"AAAAAG733qA=")</f>
        <v>#REF!</v>
      </c>
      <c r="FF49" t="e">
        <f>AND(#REF!,"AAAAAG733qE=")</f>
        <v>#REF!</v>
      </c>
      <c r="FG49" t="e">
        <f>AND(#REF!,"AAAAAG733qI=")</f>
        <v>#REF!</v>
      </c>
      <c r="FH49" t="e">
        <f>AND(#REF!,"AAAAAG733qM=")</f>
        <v>#REF!</v>
      </c>
      <c r="FI49" t="e">
        <f>AND(#REF!,"AAAAAG733qQ=")</f>
        <v>#REF!</v>
      </c>
      <c r="FJ49" t="e">
        <f>AND(#REF!,"AAAAAG733qU=")</f>
        <v>#REF!</v>
      </c>
      <c r="FK49" t="e">
        <f>AND(#REF!,"AAAAAG733qY=")</f>
        <v>#REF!</v>
      </c>
      <c r="FL49" t="e">
        <f>AND(#REF!,"AAAAAG733qc=")</f>
        <v>#REF!</v>
      </c>
      <c r="FM49" t="e">
        <f>AND(#REF!,"AAAAAG733qg=")</f>
        <v>#REF!</v>
      </c>
      <c r="FN49" t="e">
        <f>AND(#REF!,"AAAAAG733qk=")</f>
        <v>#REF!</v>
      </c>
      <c r="FO49" t="e">
        <f>AND(#REF!,"AAAAAG733qo=")</f>
        <v>#REF!</v>
      </c>
      <c r="FP49" t="e">
        <f>AND(#REF!,"AAAAAG733qs=")</f>
        <v>#REF!</v>
      </c>
      <c r="FQ49" t="e">
        <f>AND(#REF!,"AAAAAG733qw=")</f>
        <v>#REF!</v>
      </c>
      <c r="FR49" t="e">
        <f>IF(#REF!,"AAAAAG733q0=",0)</f>
        <v>#REF!</v>
      </c>
      <c r="FS49" t="e">
        <f>AND(#REF!,"AAAAAG733q4=")</f>
        <v>#REF!</v>
      </c>
      <c r="FT49" t="e">
        <f>AND(#REF!,"AAAAAG733q8=")</f>
        <v>#REF!</v>
      </c>
      <c r="FU49" t="e">
        <f>AND(#REF!,"AAAAAG733rA=")</f>
        <v>#REF!</v>
      </c>
      <c r="FV49" t="e">
        <f>AND(#REF!,"AAAAAG733rE=")</f>
        <v>#REF!</v>
      </c>
      <c r="FW49" t="e">
        <f>AND(#REF!,"AAAAAG733rI=")</f>
        <v>#REF!</v>
      </c>
      <c r="FX49" t="e">
        <f>AND(#REF!,"AAAAAG733rM=")</f>
        <v>#REF!</v>
      </c>
      <c r="FY49" t="e">
        <f>AND(#REF!,"AAAAAG733rQ=")</f>
        <v>#REF!</v>
      </c>
      <c r="FZ49" t="e">
        <f>AND(#REF!,"AAAAAG733rU=")</f>
        <v>#REF!</v>
      </c>
      <c r="GA49" t="e">
        <f>AND(#REF!,"AAAAAG733rY=")</f>
        <v>#REF!</v>
      </c>
      <c r="GB49" t="e">
        <f>AND(#REF!,"AAAAAG733rc=")</f>
        <v>#REF!</v>
      </c>
      <c r="GC49" t="e">
        <f>AND(#REF!,"AAAAAG733rg=")</f>
        <v>#REF!</v>
      </c>
      <c r="GD49" t="e">
        <f>AND(#REF!,"AAAAAG733rk=")</f>
        <v>#REF!</v>
      </c>
      <c r="GE49" t="e">
        <f>AND(#REF!,"AAAAAG733ro=")</f>
        <v>#REF!</v>
      </c>
      <c r="GF49" t="e">
        <f>AND(#REF!,"AAAAAG733rs=")</f>
        <v>#REF!</v>
      </c>
      <c r="GG49" t="e">
        <f>AND(#REF!,"AAAAAG733rw=")</f>
        <v>#REF!</v>
      </c>
      <c r="GH49" t="e">
        <f>AND(#REF!,"AAAAAG733r0=")</f>
        <v>#REF!</v>
      </c>
      <c r="GI49" t="e">
        <f>AND(#REF!,"AAAAAG733r4=")</f>
        <v>#REF!</v>
      </c>
      <c r="GJ49" t="e">
        <f>AND(#REF!,"AAAAAG733r8=")</f>
        <v>#REF!</v>
      </c>
      <c r="GK49" t="e">
        <f>AND(#REF!,"AAAAAG733sA=")</f>
        <v>#REF!</v>
      </c>
      <c r="GL49" t="e">
        <f>AND(#REF!,"AAAAAG733sE=")</f>
        <v>#REF!</v>
      </c>
      <c r="GM49" t="e">
        <f>AND(#REF!,"AAAAAG733sI=")</f>
        <v>#REF!</v>
      </c>
      <c r="GN49" t="e">
        <f>AND(#REF!,"AAAAAG733sM=")</f>
        <v>#REF!</v>
      </c>
      <c r="GO49" t="e">
        <f>AND(#REF!,"AAAAAG733sQ=")</f>
        <v>#REF!</v>
      </c>
      <c r="GP49" t="e">
        <f>IF(#REF!,"AAAAAG733sU=",0)</f>
        <v>#REF!</v>
      </c>
      <c r="GQ49" t="e">
        <f>AND(#REF!,"AAAAAG733sY=")</f>
        <v>#REF!</v>
      </c>
      <c r="GR49" t="e">
        <f>AND(#REF!,"AAAAAG733sc=")</f>
        <v>#REF!</v>
      </c>
      <c r="GS49" t="e">
        <f>AND(#REF!,"AAAAAG733sg=")</f>
        <v>#REF!</v>
      </c>
      <c r="GT49" t="e">
        <f>AND(#REF!,"AAAAAG733sk=")</f>
        <v>#REF!</v>
      </c>
      <c r="GU49" t="e">
        <f>AND(#REF!,"AAAAAG733so=")</f>
        <v>#REF!</v>
      </c>
      <c r="GV49" t="e">
        <f>AND(#REF!,"AAAAAG733ss=")</f>
        <v>#REF!</v>
      </c>
      <c r="GW49" t="e">
        <f>AND(#REF!,"AAAAAG733sw=")</f>
        <v>#REF!</v>
      </c>
      <c r="GX49" t="e">
        <f>AND(#REF!,"AAAAAG733s0=")</f>
        <v>#REF!</v>
      </c>
      <c r="GY49" t="e">
        <f>AND(#REF!,"AAAAAG733s4=")</f>
        <v>#REF!</v>
      </c>
      <c r="GZ49" t="e">
        <f>AND(#REF!,"AAAAAG733s8=")</f>
        <v>#REF!</v>
      </c>
      <c r="HA49" t="e">
        <f>AND(#REF!,"AAAAAG733tA=")</f>
        <v>#REF!</v>
      </c>
      <c r="HB49" t="e">
        <f>AND(#REF!,"AAAAAG733tE=")</f>
        <v>#REF!</v>
      </c>
      <c r="HC49" t="e">
        <f>AND(#REF!,"AAAAAG733tI=")</f>
        <v>#REF!</v>
      </c>
      <c r="HD49" t="e">
        <f>AND(#REF!,"AAAAAG733tM=")</f>
        <v>#REF!</v>
      </c>
      <c r="HE49" t="e">
        <f>AND(#REF!,"AAAAAG733tQ=")</f>
        <v>#REF!</v>
      </c>
      <c r="HF49" t="e">
        <f>AND(#REF!,"AAAAAG733tU=")</f>
        <v>#REF!</v>
      </c>
      <c r="HG49" t="e">
        <f>AND(#REF!,"AAAAAG733tY=")</f>
        <v>#REF!</v>
      </c>
      <c r="HH49" t="e">
        <f>AND(#REF!,"AAAAAG733tc=")</f>
        <v>#REF!</v>
      </c>
      <c r="HI49" t="e">
        <f>AND(#REF!,"AAAAAG733tg=")</f>
        <v>#REF!</v>
      </c>
      <c r="HJ49" t="e">
        <f>AND(#REF!,"AAAAAG733tk=")</f>
        <v>#REF!</v>
      </c>
      <c r="HK49" t="e">
        <f>AND(#REF!,"AAAAAG733to=")</f>
        <v>#REF!</v>
      </c>
      <c r="HL49" t="e">
        <f>AND(#REF!,"AAAAAG733ts=")</f>
        <v>#REF!</v>
      </c>
      <c r="HM49" t="e">
        <f>AND(#REF!,"AAAAAG733tw=")</f>
        <v>#REF!</v>
      </c>
      <c r="HN49" t="e">
        <f>IF(#REF!,"AAAAAG733t0=",0)</f>
        <v>#REF!</v>
      </c>
      <c r="HO49" t="e">
        <f>AND(#REF!,"AAAAAG733t4=")</f>
        <v>#REF!</v>
      </c>
      <c r="HP49" t="e">
        <f>AND(#REF!,"AAAAAG733t8=")</f>
        <v>#REF!</v>
      </c>
      <c r="HQ49" t="e">
        <f>AND(#REF!,"AAAAAG733uA=")</f>
        <v>#REF!</v>
      </c>
      <c r="HR49" t="e">
        <f>AND(#REF!,"AAAAAG733uE=")</f>
        <v>#REF!</v>
      </c>
      <c r="HS49" t="e">
        <f>AND(#REF!,"AAAAAG733uI=")</f>
        <v>#REF!</v>
      </c>
      <c r="HT49" t="e">
        <f>AND(#REF!,"AAAAAG733uM=")</f>
        <v>#REF!</v>
      </c>
      <c r="HU49" t="e">
        <f>AND(#REF!,"AAAAAG733uQ=")</f>
        <v>#REF!</v>
      </c>
      <c r="HV49" t="e">
        <f>AND(#REF!,"AAAAAG733uU=")</f>
        <v>#REF!</v>
      </c>
      <c r="HW49" t="e">
        <f>AND(#REF!,"AAAAAG733uY=")</f>
        <v>#REF!</v>
      </c>
      <c r="HX49" t="e">
        <f>AND(#REF!,"AAAAAG733uc=")</f>
        <v>#REF!</v>
      </c>
      <c r="HY49" t="e">
        <f>AND(#REF!,"AAAAAG733ug=")</f>
        <v>#REF!</v>
      </c>
      <c r="HZ49" t="e">
        <f>AND(#REF!,"AAAAAG733uk=")</f>
        <v>#REF!</v>
      </c>
      <c r="IA49" t="e">
        <f>AND(#REF!,"AAAAAG733uo=")</f>
        <v>#REF!</v>
      </c>
      <c r="IB49" t="e">
        <f>AND(#REF!,"AAAAAG733us=")</f>
        <v>#REF!</v>
      </c>
      <c r="IC49" t="e">
        <f>AND(#REF!,"AAAAAG733uw=")</f>
        <v>#REF!</v>
      </c>
      <c r="ID49" t="e">
        <f>AND(#REF!,"AAAAAG733u0=")</f>
        <v>#REF!</v>
      </c>
      <c r="IE49" t="e">
        <f>AND(#REF!,"AAAAAG733u4=")</f>
        <v>#REF!</v>
      </c>
      <c r="IF49" t="e">
        <f>AND(#REF!,"AAAAAG733u8=")</f>
        <v>#REF!</v>
      </c>
      <c r="IG49" t="e">
        <f>AND(#REF!,"AAAAAG733vA=")</f>
        <v>#REF!</v>
      </c>
      <c r="IH49" t="e">
        <f>AND(#REF!,"AAAAAG733vE=")</f>
        <v>#REF!</v>
      </c>
      <c r="II49" t="e">
        <f>AND(#REF!,"AAAAAG733vI=")</f>
        <v>#REF!</v>
      </c>
      <c r="IJ49" t="e">
        <f>AND(#REF!,"AAAAAG733vM=")</f>
        <v>#REF!</v>
      </c>
      <c r="IK49" t="e">
        <f>AND(#REF!,"AAAAAG733vQ=")</f>
        <v>#REF!</v>
      </c>
      <c r="IL49" t="e">
        <f>IF(#REF!,"AAAAAG733vU=",0)</f>
        <v>#REF!</v>
      </c>
      <c r="IM49" t="e">
        <f>AND(#REF!,"AAAAAG733vY=")</f>
        <v>#REF!</v>
      </c>
      <c r="IN49" t="e">
        <f>AND(#REF!,"AAAAAG733vc=")</f>
        <v>#REF!</v>
      </c>
      <c r="IO49" t="e">
        <f>AND(#REF!,"AAAAAG733vg=")</f>
        <v>#REF!</v>
      </c>
      <c r="IP49" t="e">
        <f>AND(#REF!,"AAAAAG733vk=")</f>
        <v>#REF!</v>
      </c>
      <c r="IQ49" t="e">
        <f>AND(#REF!,"AAAAAG733vo=")</f>
        <v>#REF!</v>
      </c>
      <c r="IR49" t="e">
        <f>AND(#REF!,"AAAAAG733vs=")</f>
        <v>#REF!</v>
      </c>
      <c r="IS49" t="e">
        <f>AND(#REF!,"AAAAAG733vw=")</f>
        <v>#REF!</v>
      </c>
      <c r="IT49" t="e">
        <f>AND(#REF!,"AAAAAG733v0=")</f>
        <v>#REF!</v>
      </c>
      <c r="IU49" t="e">
        <f>AND(#REF!,"AAAAAG733v4=")</f>
        <v>#REF!</v>
      </c>
      <c r="IV49" t="e">
        <f>AND(#REF!,"AAAAAG733v8=")</f>
        <v>#REF!</v>
      </c>
    </row>
    <row r="50" spans="1:256" x14ac:dyDescent="0.15">
      <c r="A50" t="e">
        <f>AND(#REF!,"AAAAACt93QA=")</f>
        <v>#REF!</v>
      </c>
      <c r="B50" t="e">
        <f>AND(#REF!,"AAAAACt93QE=")</f>
        <v>#REF!</v>
      </c>
      <c r="C50" t="e">
        <f>AND(#REF!,"AAAAACt93QI=")</f>
        <v>#REF!</v>
      </c>
      <c r="D50" t="e">
        <f>AND(#REF!,"AAAAACt93QM=")</f>
        <v>#REF!</v>
      </c>
      <c r="E50" t="e">
        <f>AND(#REF!,"AAAAACt93QQ=")</f>
        <v>#REF!</v>
      </c>
      <c r="F50" t="e">
        <f>AND(#REF!,"AAAAACt93QU=")</f>
        <v>#REF!</v>
      </c>
      <c r="G50" t="e">
        <f>AND(#REF!,"AAAAACt93QY=")</f>
        <v>#REF!</v>
      </c>
      <c r="H50" t="e">
        <f>AND(#REF!,"AAAAACt93Qc=")</f>
        <v>#REF!</v>
      </c>
      <c r="I50" t="e">
        <f>AND(#REF!,"AAAAACt93Qg=")</f>
        <v>#REF!</v>
      </c>
      <c r="J50" t="e">
        <f>AND(#REF!,"AAAAACt93Qk=")</f>
        <v>#REF!</v>
      </c>
      <c r="K50" t="e">
        <f>AND(#REF!,"AAAAACt93Qo=")</f>
        <v>#REF!</v>
      </c>
      <c r="L50" t="e">
        <f>AND(#REF!,"AAAAACt93Qs=")</f>
        <v>#REF!</v>
      </c>
      <c r="M50" t="e">
        <f>AND(#REF!,"AAAAACt93Qw=")</f>
        <v>#REF!</v>
      </c>
      <c r="N50" t="e">
        <f>IF(#REF!,"AAAAACt93Q0=",0)</f>
        <v>#REF!</v>
      </c>
      <c r="O50" t="e">
        <f>AND(#REF!,"AAAAACt93Q4=")</f>
        <v>#REF!</v>
      </c>
      <c r="P50" t="e">
        <f>AND(#REF!,"AAAAACt93Q8=")</f>
        <v>#REF!</v>
      </c>
      <c r="Q50" t="e">
        <f>AND(#REF!,"AAAAACt93RA=")</f>
        <v>#REF!</v>
      </c>
      <c r="R50" t="e">
        <f>AND(#REF!,"AAAAACt93RE=")</f>
        <v>#REF!</v>
      </c>
      <c r="S50" t="e">
        <f>AND(#REF!,"AAAAACt93RI=")</f>
        <v>#REF!</v>
      </c>
      <c r="T50" t="e">
        <f>AND(#REF!,"AAAAACt93RM=")</f>
        <v>#REF!</v>
      </c>
      <c r="U50" t="e">
        <f>AND(#REF!,"AAAAACt93RQ=")</f>
        <v>#REF!</v>
      </c>
      <c r="V50" t="e">
        <f>AND(#REF!,"AAAAACt93RU=")</f>
        <v>#REF!</v>
      </c>
      <c r="W50" t="e">
        <f>AND(#REF!,"AAAAACt93RY=")</f>
        <v>#REF!</v>
      </c>
      <c r="X50" t="e">
        <f>AND(#REF!,"AAAAACt93Rc=")</f>
        <v>#REF!</v>
      </c>
      <c r="Y50" t="e">
        <f>AND(#REF!,"AAAAACt93Rg=")</f>
        <v>#REF!</v>
      </c>
      <c r="Z50" t="e">
        <f>AND(#REF!,"AAAAACt93Rk=")</f>
        <v>#REF!</v>
      </c>
      <c r="AA50" t="e">
        <f>AND(#REF!,"AAAAACt93Ro=")</f>
        <v>#REF!</v>
      </c>
      <c r="AB50" t="e">
        <f>AND(#REF!,"AAAAACt93Rs=")</f>
        <v>#REF!</v>
      </c>
      <c r="AC50" t="e">
        <f>AND(#REF!,"AAAAACt93Rw=")</f>
        <v>#REF!</v>
      </c>
      <c r="AD50" t="e">
        <f>AND(#REF!,"AAAAACt93R0=")</f>
        <v>#REF!</v>
      </c>
      <c r="AE50" t="e">
        <f>AND(#REF!,"AAAAACt93R4=")</f>
        <v>#REF!</v>
      </c>
      <c r="AF50" t="e">
        <f>AND(#REF!,"AAAAACt93R8=")</f>
        <v>#REF!</v>
      </c>
      <c r="AG50" t="e">
        <f>AND(#REF!,"AAAAACt93SA=")</f>
        <v>#REF!</v>
      </c>
      <c r="AH50" t="e">
        <f>AND(#REF!,"AAAAACt93SE=")</f>
        <v>#REF!</v>
      </c>
      <c r="AI50" t="e">
        <f>AND(#REF!,"AAAAACt93SI=")</f>
        <v>#REF!</v>
      </c>
      <c r="AJ50" t="e">
        <f>AND(#REF!,"AAAAACt93SM=")</f>
        <v>#REF!</v>
      </c>
      <c r="AK50" t="e">
        <f>AND(#REF!,"AAAAACt93SQ=")</f>
        <v>#REF!</v>
      </c>
      <c r="AL50" t="e">
        <f>IF(#REF!,"AAAAACt93SU=",0)</f>
        <v>#REF!</v>
      </c>
      <c r="AM50" t="e">
        <f>AND(#REF!,"AAAAACt93SY=")</f>
        <v>#REF!</v>
      </c>
      <c r="AN50" t="e">
        <f>AND(#REF!,"AAAAACt93Sc=")</f>
        <v>#REF!</v>
      </c>
      <c r="AO50" t="e">
        <f>AND(#REF!,"AAAAACt93Sg=")</f>
        <v>#REF!</v>
      </c>
      <c r="AP50" t="e">
        <f>AND(#REF!,"AAAAACt93Sk=")</f>
        <v>#REF!</v>
      </c>
      <c r="AQ50" t="e">
        <f>AND(#REF!,"AAAAACt93So=")</f>
        <v>#REF!</v>
      </c>
      <c r="AR50" t="e">
        <f>AND(#REF!,"AAAAACt93Ss=")</f>
        <v>#REF!</v>
      </c>
      <c r="AS50" t="e">
        <f>AND(#REF!,"AAAAACt93Sw=")</f>
        <v>#REF!</v>
      </c>
      <c r="AT50" t="e">
        <f>AND(#REF!,"AAAAACt93S0=")</f>
        <v>#REF!</v>
      </c>
      <c r="AU50" t="e">
        <f>AND(#REF!,"AAAAACt93S4=")</f>
        <v>#REF!</v>
      </c>
      <c r="AV50" t="e">
        <f>AND(#REF!,"AAAAACt93S8=")</f>
        <v>#REF!</v>
      </c>
      <c r="AW50" t="e">
        <f>AND(#REF!,"AAAAACt93TA=")</f>
        <v>#REF!</v>
      </c>
      <c r="AX50" t="e">
        <f>AND(#REF!,"AAAAACt93TE=")</f>
        <v>#REF!</v>
      </c>
      <c r="AY50" t="e">
        <f>AND(#REF!,"AAAAACt93TI=")</f>
        <v>#REF!</v>
      </c>
      <c r="AZ50" t="e">
        <f>AND(#REF!,"AAAAACt93TM=")</f>
        <v>#REF!</v>
      </c>
      <c r="BA50" t="e">
        <f>AND(#REF!,"AAAAACt93TQ=")</f>
        <v>#REF!</v>
      </c>
      <c r="BB50" t="e">
        <f>AND(#REF!,"AAAAACt93TU=")</f>
        <v>#REF!</v>
      </c>
      <c r="BC50" t="e">
        <f>AND(#REF!,"AAAAACt93TY=")</f>
        <v>#REF!</v>
      </c>
      <c r="BD50" t="e">
        <f>AND(#REF!,"AAAAACt93Tc=")</f>
        <v>#REF!</v>
      </c>
      <c r="BE50" t="e">
        <f>AND(#REF!,"AAAAACt93Tg=")</f>
        <v>#REF!</v>
      </c>
      <c r="BF50" t="e">
        <f>AND(#REF!,"AAAAACt93Tk=")</f>
        <v>#REF!</v>
      </c>
      <c r="BG50" t="e">
        <f>AND(#REF!,"AAAAACt93To=")</f>
        <v>#REF!</v>
      </c>
      <c r="BH50" t="e">
        <f>AND(#REF!,"AAAAACt93Ts=")</f>
        <v>#REF!</v>
      </c>
      <c r="BI50" t="e">
        <f>AND(#REF!,"AAAAACt93Tw=")</f>
        <v>#REF!</v>
      </c>
      <c r="BJ50" t="e">
        <f>IF(#REF!,"AAAAACt93T0=",0)</f>
        <v>#REF!</v>
      </c>
      <c r="BK50" t="e">
        <f>AND(#REF!,"AAAAACt93T4=")</f>
        <v>#REF!</v>
      </c>
      <c r="BL50" t="e">
        <f>AND(#REF!,"AAAAACt93T8=")</f>
        <v>#REF!</v>
      </c>
      <c r="BM50" t="e">
        <f>AND(#REF!,"AAAAACt93UA=")</f>
        <v>#REF!</v>
      </c>
      <c r="BN50" t="e">
        <f>AND(#REF!,"AAAAACt93UE=")</f>
        <v>#REF!</v>
      </c>
      <c r="BO50" t="e">
        <f>AND(#REF!,"AAAAACt93UI=")</f>
        <v>#REF!</v>
      </c>
      <c r="BP50" t="e">
        <f>AND(#REF!,"AAAAACt93UM=")</f>
        <v>#REF!</v>
      </c>
      <c r="BQ50" t="e">
        <f>AND(#REF!,"AAAAACt93UQ=")</f>
        <v>#REF!</v>
      </c>
      <c r="BR50" t="e">
        <f>AND(#REF!,"AAAAACt93UU=")</f>
        <v>#REF!</v>
      </c>
      <c r="BS50" t="e">
        <f>AND(#REF!,"AAAAACt93UY=")</f>
        <v>#REF!</v>
      </c>
      <c r="BT50" t="e">
        <f>AND(#REF!,"AAAAACt93Uc=")</f>
        <v>#REF!</v>
      </c>
      <c r="BU50" t="e">
        <f>AND(#REF!,"AAAAACt93Ug=")</f>
        <v>#REF!</v>
      </c>
      <c r="BV50" t="e">
        <f>AND(#REF!,"AAAAACt93Uk=")</f>
        <v>#REF!</v>
      </c>
      <c r="BW50" t="e">
        <f>AND(#REF!,"AAAAACt93Uo=")</f>
        <v>#REF!</v>
      </c>
      <c r="BX50" t="e">
        <f>AND(#REF!,"AAAAACt93Us=")</f>
        <v>#REF!</v>
      </c>
      <c r="BY50" t="e">
        <f>AND(#REF!,"AAAAACt93Uw=")</f>
        <v>#REF!</v>
      </c>
      <c r="BZ50" t="e">
        <f>AND(#REF!,"AAAAACt93U0=")</f>
        <v>#REF!</v>
      </c>
      <c r="CA50" t="e">
        <f>AND(#REF!,"AAAAACt93U4=")</f>
        <v>#REF!</v>
      </c>
      <c r="CB50" t="e">
        <f>AND(#REF!,"AAAAACt93U8=")</f>
        <v>#REF!</v>
      </c>
      <c r="CC50" t="e">
        <f>AND(#REF!,"AAAAACt93VA=")</f>
        <v>#REF!</v>
      </c>
      <c r="CD50" t="e">
        <f>AND(#REF!,"AAAAACt93VE=")</f>
        <v>#REF!</v>
      </c>
      <c r="CE50" t="e">
        <f>AND(#REF!,"AAAAACt93VI=")</f>
        <v>#REF!</v>
      </c>
      <c r="CF50" t="e">
        <f>AND(#REF!,"AAAAACt93VM=")</f>
        <v>#REF!</v>
      </c>
      <c r="CG50" t="e">
        <f>AND(#REF!,"AAAAACt93VQ=")</f>
        <v>#REF!</v>
      </c>
      <c r="CH50" t="e">
        <f>IF(#REF!,"AAAAACt93VU=",0)</f>
        <v>#REF!</v>
      </c>
      <c r="CI50" t="e">
        <f>AND(#REF!,"AAAAACt93VY=")</f>
        <v>#REF!</v>
      </c>
      <c r="CJ50" t="e">
        <f>AND(#REF!,"AAAAACt93Vc=")</f>
        <v>#REF!</v>
      </c>
      <c r="CK50" t="e">
        <f>AND(#REF!,"AAAAACt93Vg=")</f>
        <v>#REF!</v>
      </c>
      <c r="CL50" t="e">
        <f>AND(#REF!,"AAAAACt93Vk=")</f>
        <v>#REF!</v>
      </c>
      <c r="CM50" t="e">
        <f>AND(#REF!,"AAAAACt93Vo=")</f>
        <v>#REF!</v>
      </c>
      <c r="CN50" t="e">
        <f>AND(#REF!,"AAAAACt93Vs=")</f>
        <v>#REF!</v>
      </c>
      <c r="CO50" t="e">
        <f>AND(#REF!,"AAAAACt93Vw=")</f>
        <v>#REF!</v>
      </c>
      <c r="CP50" t="e">
        <f>AND(#REF!,"AAAAACt93V0=")</f>
        <v>#REF!</v>
      </c>
      <c r="CQ50" t="e">
        <f>AND(#REF!,"AAAAACt93V4=")</f>
        <v>#REF!</v>
      </c>
      <c r="CR50" t="e">
        <f>AND(#REF!,"AAAAACt93V8=")</f>
        <v>#REF!</v>
      </c>
      <c r="CS50" t="e">
        <f>AND(#REF!,"AAAAACt93WA=")</f>
        <v>#REF!</v>
      </c>
      <c r="CT50" t="e">
        <f>AND(#REF!,"AAAAACt93WE=")</f>
        <v>#REF!</v>
      </c>
      <c r="CU50" t="e">
        <f>AND(#REF!,"AAAAACt93WI=")</f>
        <v>#REF!</v>
      </c>
      <c r="CV50" t="e">
        <f>AND(#REF!,"AAAAACt93WM=")</f>
        <v>#REF!</v>
      </c>
      <c r="CW50" t="e">
        <f>AND(#REF!,"AAAAACt93WQ=")</f>
        <v>#REF!</v>
      </c>
      <c r="CX50" t="e">
        <f>AND(#REF!,"AAAAACt93WU=")</f>
        <v>#REF!</v>
      </c>
      <c r="CY50" t="e">
        <f>AND(#REF!,"AAAAACt93WY=")</f>
        <v>#REF!</v>
      </c>
      <c r="CZ50" t="e">
        <f>AND(#REF!,"AAAAACt93Wc=")</f>
        <v>#REF!</v>
      </c>
      <c r="DA50" t="e">
        <f>AND(#REF!,"AAAAACt93Wg=")</f>
        <v>#REF!</v>
      </c>
      <c r="DB50" t="e">
        <f>AND(#REF!,"AAAAACt93Wk=")</f>
        <v>#REF!</v>
      </c>
      <c r="DC50" t="e">
        <f>AND(#REF!,"AAAAACt93Wo=")</f>
        <v>#REF!</v>
      </c>
      <c r="DD50" t="e">
        <f>AND(#REF!,"AAAAACt93Ws=")</f>
        <v>#REF!</v>
      </c>
      <c r="DE50" t="e">
        <f>AND(#REF!,"AAAAACt93Ww=")</f>
        <v>#REF!</v>
      </c>
      <c r="DF50" t="e">
        <f>IF(#REF!,"AAAAACt93W0=",0)</f>
        <v>#REF!</v>
      </c>
      <c r="DG50" t="e">
        <f>AND(#REF!,"AAAAACt93W4=")</f>
        <v>#REF!</v>
      </c>
      <c r="DH50" t="e">
        <f>AND(#REF!,"AAAAACt93W8=")</f>
        <v>#REF!</v>
      </c>
      <c r="DI50" t="e">
        <f>AND(#REF!,"AAAAACt93XA=")</f>
        <v>#REF!</v>
      </c>
      <c r="DJ50" t="e">
        <f>AND(#REF!,"AAAAACt93XE=")</f>
        <v>#REF!</v>
      </c>
      <c r="DK50" t="e">
        <f>AND(#REF!,"AAAAACt93XI=")</f>
        <v>#REF!</v>
      </c>
      <c r="DL50" t="e">
        <f>AND(#REF!,"AAAAACt93XM=")</f>
        <v>#REF!</v>
      </c>
      <c r="DM50" t="e">
        <f>AND(#REF!,"AAAAACt93XQ=")</f>
        <v>#REF!</v>
      </c>
      <c r="DN50" t="e">
        <f>AND(#REF!,"AAAAACt93XU=")</f>
        <v>#REF!</v>
      </c>
      <c r="DO50" t="e">
        <f>AND(#REF!,"AAAAACt93XY=")</f>
        <v>#REF!</v>
      </c>
      <c r="DP50" t="e">
        <f>AND(#REF!,"AAAAACt93Xc=")</f>
        <v>#REF!</v>
      </c>
      <c r="DQ50" t="e">
        <f>AND(#REF!,"AAAAACt93Xg=")</f>
        <v>#REF!</v>
      </c>
      <c r="DR50" t="e">
        <f>AND(#REF!,"AAAAACt93Xk=")</f>
        <v>#REF!</v>
      </c>
      <c r="DS50" t="e">
        <f>AND(#REF!,"AAAAACt93Xo=")</f>
        <v>#REF!</v>
      </c>
      <c r="DT50" t="e">
        <f>AND(#REF!,"AAAAACt93Xs=")</f>
        <v>#REF!</v>
      </c>
      <c r="DU50" t="e">
        <f>AND(#REF!,"AAAAACt93Xw=")</f>
        <v>#REF!</v>
      </c>
      <c r="DV50" t="e">
        <f>AND(#REF!,"AAAAACt93X0=")</f>
        <v>#REF!</v>
      </c>
      <c r="DW50" t="e">
        <f>AND(#REF!,"AAAAACt93X4=")</f>
        <v>#REF!</v>
      </c>
      <c r="DX50" t="e">
        <f>AND(#REF!,"AAAAACt93X8=")</f>
        <v>#REF!</v>
      </c>
      <c r="DY50" t="e">
        <f>AND(#REF!,"AAAAACt93YA=")</f>
        <v>#REF!</v>
      </c>
      <c r="DZ50" t="e">
        <f>AND(#REF!,"AAAAACt93YE=")</f>
        <v>#REF!</v>
      </c>
      <c r="EA50" t="e">
        <f>AND(#REF!,"AAAAACt93YI=")</f>
        <v>#REF!</v>
      </c>
      <c r="EB50" t="e">
        <f>AND(#REF!,"AAAAACt93YM=")</f>
        <v>#REF!</v>
      </c>
      <c r="EC50" t="e">
        <f>AND(#REF!,"AAAAACt93YQ=")</f>
        <v>#REF!</v>
      </c>
      <c r="ED50" t="e">
        <f>IF(#REF!,"AAAAACt93YU=",0)</f>
        <v>#REF!</v>
      </c>
      <c r="EE50" t="e">
        <f>AND(#REF!,"AAAAACt93YY=")</f>
        <v>#REF!</v>
      </c>
      <c r="EF50" t="e">
        <f>AND(#REF!,"AAAAACt93Yc=")</f>
        <v>#REF!</v>
      </c>
      <c r="EG50" t="e">
        <f>AND(#REF!,"AAAAACt93Yg=")</f>
        <v>#REF!</v>
      </c>
      <c r="EH50" t="e">
        <f>AND(#REF!,"AAAAACt93Yk=")</f>
        <v>#REF!</v>
      </c>
      <c r="EI50" t="e">
        <f>AND(#REF!,"AAAAACt93Yo=")</f>
        <v>#REF!</v>
      </c>
      <c r="EJ50" t="e">
        <f>AND(#REF!,"AAAAACt93Ys=")</f>
        <v>#REF!</v>
      </c>
      <c r="EK50" t="e">
        <f>AND(#REF!,"AAAAACt93Yw=")</f>
        <v>#REF!</v>
      </c>
      <c r="EL50" t="e">
        <f>AND(#REF!,"AAAAACt93Y0=")</f>
        <v>#REF!</v>
      </c>
      <c r="EM50" t="e">
        <f>AND(#REF!,"AAAAACt93Y4=")</f>
        <v>#REF!</v>
      </c>
      <c r="EN50" t="e">
        <f>AND(#REF!,"AAAAACt93Y8=")</f>
        <v>#REF!</v>
      </c>
      <c r="EO50" t="e">
        <f>AND(#REF!,"AAAAACt93ZA=")</f>
        <v>#REF!</v>
      </c>
      <c r="EP50" t="e">
        <f>AND(#REF!,"AAAAACt93ZE=")</f>
        <v>#REF!</v>
      </c>
      <c r="EQ50" t="e">
        <f>AND(#REF!,"AAAAACt93ZI=")</f>
        <v>#REF!</v>
      </c>
      <c r="ER50" t="e">
        <f>AND(#REF!,"AAAAACt93ZM=")</f>
        <v>#REF!</v>
      </c>
      <c r="ES50" t="e">
        <f>AND(#REF!,"AAAAACt93ZQ=")</f>
        <v>#REF!</v>
      </c>
      <c r="ET50" t="e">
        <f>AND(#REF!,"AAAAACt93ZU=")</f>
        <v>#REF!</v>
      </c>
      <c r="EU50" t="e">
        <f>AND(#REF!,"AAAAACt93ZY=")</f>
        <v>#REF!</v>
      </c>
      <c r="EV50" t="e">
        <f>AND(#REF!,"AAAAACt93Zc=")</f>
        <v>#REF!</v>
      </c>
      <c r="EW50" t="e">
        <f>AND(#REF!,"AAAAACt93Zg=")</f>
        <v>#REF!</v>
      </c>
      <c r="EX50" t="e">
        <f>AND(#REF!,"AAAAACt93Zk=")</f>
        <v>#REF!</v>
      </c>
      <c r="EY50" t="e">
        <f>AND(#REF!,"AAAAACt93Zo=")</f>
        <v>#REF!</v>
      </c>
      <c r="EZ50" t="e">
        <f>AND(#REF!,"AAAAACt93Zs=")</f>
        <v>#REF!</v>
      </c>
      <c r="FA50" t="e">
        <f>AND(#REF!,"AAAAACt93Zw=")</f>
        <v>#REF!</v>
      </c>
      <c r="FB50" t="e">
        <f>IF(#REF!,"AAAAACt93Z0=",0)</f>
        <v>#REF!</v>
      </c>
      <c r="FC50" t="e">
        <f>AND(#REF!,"AAAAACt93Z4=")</f>
        <v>#REF!</v>
      </c>
      <c r="FD50" t="e">
        <f>AND(#REF!,"AAAAACt93Z8=")</f>
        <v>#REF!</v>
      </c>
      <c r="FE50" t="e">
        <f>AND(#REF!,"AAAAACt93aA=")</f>
        <v>#REF!</v>
      </c>
      <c r="FF50" t="e">
        <f>AND(#REF!,"AAAAACt93aE=")</f>
        <v>#REF!</v>
      </c>
      <c r="FG50" t="e">
        <f>AND(#REF!,"AAAAACt93aI=")</f>
        <v>#REF!</v>
      </c>
      <c r="FH50" t="e">
        <f>AND(#REF!,"AAAAACt93aM=")</f>
        <v>#REF!</v>
      </c>
      <c r="FI50" t="e">
        <f>AND(#REF!,"AAAAACt93aQ=")</f>
        <v>#REF!</v>
      </c>
      <c r="FJ50" t="e">
        <f>AND(#REF!,"AAAAACt93aU=")</f>
        <v>#REF!</v>
      </c>
      <c r="FK50" t="e">
        <f>AND(#REF!,"AAAAACt93aY=")</f>
        <v>#REF!</v>
      </c>
      <c r="FL50" t="e">
        <f>AND(#REF!,"AAAAACt93ac=")</f>
        <v>#REF!</v>
      </c>
      <c r="FM50" t="e">
        <f>AND(#REF!,"AAAAACt93ag=")</f>
        <v>#REF!</v>
      </c>
      <c r="FN50" t="e">
        <f>AND(#REF!,"AAAAACt93ak=")</f>
        <v>#REF!</v>
      </c>
      <c r="FO50" t="e">
        <f>AND(#REF!,"AAAAACt93ao=")</f>
        <v>#REF!</v>
      </c>
      <c r="FP50" t="e">
        <f>AND(#REF!,"AAAAACt93as=")</f>
        <v>#REF!</v>
      </c>
      <c r="FQ50" t="e">
        <f>AND(#REF!,"AAAAACt93aw=")</f>
        <v>#REF!</v>
      </c>
      <c r="FR50" t="e">
        <f>AND(#REF!,"AAAAACt93a0=")</f>
        <v>#REF!</v>
      </c>
      <c r="FS50" t="e">
        <f>AND(#REF!,"AAAAACt93a4=")</f>
        <v>#REF!</v>
      </c>
      <c r="FT50" t="e">
        <f>AND(#REF!,"AAAAACt93a8=")</f>
        <v>#REF!</v>
      </c>
      <c r="FU50" t="e">
        <f>AND(#REF!,"AAAAACt93bA=")</f>
        <v>#REF!</v>
      </c>
      <c r="FV50" t="e">
        <f>AND(#REF!,"AAAAACt93bE=")</f>
        <v>#REF!</v>
      </c>
      <c r="FW50" t="e">
        <f>AND(#REF!,"AAAAACt93bI=")</f>
        <v>#REF!</v>
      </c>
      <c r="FX50" t="e">
        <f>AND(#REF!,"AAAAACt93bM=")</f>
        <v>#REF!</v>
      </c>
      <c r="FY50" t="e">
        <f>AND(#REF!,"AAAAACt93bQ=")</f>
        <v>#REF!</v>
      </c>
      <c r="FZ50" t="e">
        <f>IF(#REF!,"AAAAACt93bU=",0)</f>
        <v>#REF!</v>
      </c>
      <c r="GA50" t="e">
        <f>AND(#REF!,"AAAAACt93bY=")</f>
        <v>#REF!</v>
      </c>
      <c r="GB50" t="e">
        <f>AND(#REF!,"AAAAACt93bc=")</f>
        <v>#REF!</v>
      </c>
      <c r="GC50" t="e">
        <f>AND(#REF!,"AAAAACt93bg=")</f>
        <v>#REF!</v>
      </c>
      <c r="GD50" t="e">
        <f>AND(#REF!,"AAAAACt93bk=")</f>
        <v>#REF!</v>
      </c>
      <c r="GE50" t="e">
        <f>AND(#REF!,"AAAAACt93bo=")</f>
        <v>#REF!</v>
      </c>
      <c r="GF50" t="e">
        <f>AND(#REF!,"AAAAACt93bs=")</f>
        <v>#REF!</v>
      </c>
      <c r="GG50" t="e">
        <f>AND(#REF!,"AAAAACt93bw=")</f>
        <v>#REF!</v>
      </c>
      <c r="GH50" t="e">
        <f>AND(#REF!,"AAAAACt93b0=")</f>
        <v>#REF!</v>
      </c>
      <c r="GI50" t="e">
        <f>AND(#REF!,"AAAAACt93b4=")</f>
        <v>#REF!</v>
      </c>
      <c r="GJ50" t="e">
        <f>AND(#REF!,"AAAAACt93b8=")</f>
        <v>#REF!</v>
      </c>
      <c r="GK50" t="e">
        <f>AND(#REF!,"AAAAACt93cA=")</f>
        <v>#REF!</v>
      </c>
      <c r="GL50" t="e">
        <f>AND(#REF!,"AAAAACt93cE=")</f>
        <v>#REF!</v>
      </c>
      <c r="GM50" t="e">
        <f>AND(#REF!,"AAAAACt93cI=")</f>
        <v>#REF!</v>
      </c>
      <c r="GN50" t="e">
        <f>AND(#REF!,"AAAAACt93cM=")</f>
        <v>#REF!</v>
      </c>
      <c r="GO50" t="e">
        <f>AND(#REF!,"AAAAACt93cQ=")</f>
        <v>#REF!</v>
      </c>
      <c r="GP50" t="e">
        <f>AND(#REF!,"AAAAACt93cU=")</f>
        <v>#REF!</v>
      </c>
      <c r="GQ50" t="e">
        <f>AND(#REF!,"AAAAACt93cY=")</f>
        <v>#REF!</v>
      </c>
      <c r="GR50" t="e">
        <f>AND(#REF!,"AAAAACt93cc=")</f>
        <v>#REF!</v>
      </c>
      <c r="GS50" t="e">
        <f>AND(#REF!,"AAAAACt93cg=")</f>
        <v>#REF!</v>
      </c>
      <c r="GT50" t="e">
        <f>AND(#REF!,"AAAAACt93ck=")</f>
        <v>#REF!</v>
      </c>
      <c r="GU50" t="e">
        <f>AND(#REF!,"AAAAACt93co=")</f>
        <v>#REF!</v>
      </c>
      <c r="GV50" t="e">
        <f>AND(#REF!,"AAAAACt93cs=")</f>
        <v>#REF!</v>
      </c>
      <c r="GW50" t="e">
        <f>AND(#REF!,"AAAAACt93cw=")</f>
        <v>#REF!</v>
      </c>
      <c r="GX50" t="e">
        <f>IF(#REF!,"AAAAACt93c0=",0)</f>
        <v>#REF!</v>
      </c>
      <c r="GY50" t="e">
        <f>AND(#REF!,"AAAAACt93c4=")</f>
        <v>#REF!</v>
      </c>
      <c r="GZ50" t="e">
        <f>AND(#REF!,"AAAAACt93c8=")</f>
        <v>#REF!</v>
      </c>
      <c r="HA50" t="e">
        <f>AND(#REF!,"AAAAACt93dA=")</f>
        <v>#REF!</v>
      </c>
      <c r="HB50" t="e">
        <f>AND(#REF!,"AAAAACt93dE=")</f>
        <v>#REF!</v>
      </c>
      <c r="HC50" t="e">
        <f>AND(#REF!,"AAAAACt93dI=")</f>
        <v>#REF!</v>
      </c>
      <c r="HD50" t="e">
        <f>AND(#REF!,"AAAAACt93dM=")</f>
        <v>#REF!</v>
      </c>
      <c r="HE50" t="e">
        <f>AND(#REF!,"AAAAACt93dQ=")</f>
        <v>#REF!</v>
      </c>
      <c r="HF50" t="e">
        <f>AND(#REF!,"AAAAACt93dU=")</f>
        <v>#REF!</v>
      </c>
      <c r="HG50" t="e">
        <f>AND(#REF!,"AAAAACt93dY=")</f>
        <v>#REF!</v>
      </c>
      <c r="HH50" t="e">
        <f>AND(#REF!,"AAAAACt93dc=")</f>
        <v>#REF!</v>
      </c>
      <c r="HI50" t="e">
        <f>AND(#REF!,"AAAAACt93dg=")</f>
        <v>#REF!</v>
      </c>
      <c r="HJ50" t="e">
        <f>AND(#REF!,"AAAAACt93dk=")</f>
        <v>#REF!</v>
      </c>
      <c r="HK50" t="e">
        <f>AND(#REF!,"AAAAACt93do=")</f>
        <v>#REF!</v>
      </c>
      <c r="HL50" t="e">
        <f>AND(#REF!,"AAAAACt93ds=")</f>
        <v>#REF!</v>
      </c>
      <c r="HM50" t="e">
        <f>AND(#REF!,"AAAAACt93dw=")</f>
        <v>#REF!</v>
      </c>
      <c r="HN50" t="e">
        <f>AND(#REF!,"AAAAACt93d0=")</f>
        <v>#REF!</v>
      </c>
      <c r="HO50" t="e">
        <f>AND(#REF!,"AAAAACt93d4=")</f>
        <v>#REF!</v>
      </c>
      <c r="HP50" t="e">
        <f>AND(#REF!,"AAAAACt93d8=")</f>
        <v>#REF!</v>
      </c>
      <c r="HQ50" t="e">
        <f>AND(#REF!,"AAAAACt93eA=")</f>
        <v>#REF!</v>
      </c>
      <c r="HR50" t="e">
        <f>AND(#REF!,"AAAAACt93eE=")</f>
        <v>#REF!</v>
      </c>
      <c r="HS50" t="e">
        <f>AND(#REF!,"AAAAACt93eI=")</f>
        <v>#REF!</v>
      </c>
      <c r="HT50" t="e">
        <f>AND(#REF!,"AAAAACt93eM=")</f>
        <v>#REF!</v>
      </c>
      <c r="HU50" t="e">
        <f>AND(#REF!,"AAAAACt93eQ=")</f>
        <v>#REF!</v>
      </c>
      <c r="HV50" t="e">
        <f>IF(#REF!,"AAAAACt93eU=",0)</f>
        <v>#REF!</v>
      </c>
      <c r="HW50" t="e">
        <f>AND(#REF!,"AAAAACt93eY=")</f>
        <v>#REF!</v>
      </c>
      <c r="HX50" t="e">
        <f>AND(#REF!,"AAAAACt93ec=")</f>
        <v>#REF!</v>
      </c>
      <c r="HY50" t="e">
        <f>AND(#REF!,"AAAAACt93eg=")</f>
        <v>#REF!</v>
      </c>
      <c r="HZ50" t="e">
        <f>AND(#REF!,"AAAAACt93ek=")</f>
        <v>#REF!</v>
      </c>
      <c r="IA50" t="e">
        <f>AND(#REF!,"AAAAACt93eo=")</f>
        <v>#REF!</v>
      </c>
      <c r="IB50" t="e">
        <f>AND(#REF!,"AAAAACt93es=")</f>
        <v>#REF!</v>
      </c>
      <c r="IC50" t="e">
        <f>AND(#REF!,"AAAAACt93ew=")</f>
        <v>#REF!</v>
      </c>
      <c r="ID50" t="e">
        <f>AND(#REF!,"AAAAACt93e0=")</f>
        <v>#REF!</v>
      </c>
      <c r="IE50" t="e">
        <f>AND(#REF!,"AAAAACt93e4=")</f>
        <v>#REF!</v>
      </c>
      <c r="IF50" t="e">
        <f>AND(#REF!,"AAAAACt93e8=")</f>
        <v>#REF!</v>
      </c>
      <c r="IG50" t="e">
        <f>AND(#REF!,"AAAAACt93fA=")</f>
        <v>#REF!</v>
      </c>
      <c r="IH50" t="e">
        <f>AND(#REF!,"AAAAACt93fE=")</f>
        <v>#REF!</v>
      </c>
      <c r="II50" t="e">
        <f>AND(#REF!,"AAAAACt93fI=")</f>
        <v>#REF!</v>
      </c>
      <c r="IJ50" t="e">
        <f>AND(#REF!,"AAAAACt93fM=")</f>
        <v>#REF!</v>
      </c>
      <c r="IK50" t="e">
        <f>AND(#REF!,"AAAAACt93fQ=")</f>
        <v>#REF!</v>
      </c>
      <c r="IL50" t="e">
        <f>AND(#REF!,"AAAAACt93fU=")</f>
        <v>#REF!</v>
      </c>
      <c r="IM50" t="e">
        <f>AND(#REF!,"AAAAACt93fY=")</f>
        <v>#REF!</v>
      </c>
      <c r="IN50" t="e">
        <f>AND(#REF!,"AAAAACt93fc=")</f>
        <v>#REF!</v>
      </c>
      <c r="IO50" t="e">
        <f>AND(#REF!,"AAAAACt93fg=")</f>
        <v>#REF!</v>
      </c>
      <c r="IP50" t="e">
        <f>AND(#REF!,"AAAAACt93fk=")</f>
        <v>#REF!</v>
      </c>
      <c r="IQ50" t="e">
        <f>AND(#REF!,"AAAAACt93fo=")</f>
        <v>#REF!</v>
      </c>
      <c r="IR50" t="e">
        <f>AND(#REF!,"AAAAACt93fs=")</f>
        <v>#REF!</v>
      </c>
      <c r="IS50" t="e">
        <f>AND(#REF!,"AAAAACt93fw=")</f>
        <v>#REF!</v>
      </c>
      <c r="IT50" t="e">
        <f>IF(#REF!,"AAAAACt93f0=",0)</f>
        <v>#REF!</v>
      </c>
      <c r="IU50" t="e">
        <f>AND(#REF!,"AAAAACt93f4=")</f>
        <v>#REF!</v>
      </c>
      <c r="IV50" t="e">
        <f>AND(#REF!,"AAAAACt93f8=")</f>
        <v>#REF!</v>
      </c>
    </row>
    <row r="51" spans="1:256" x14ac:dyDescent="0.15">
      <c r="A51" t="e">
        <f>AND(#REF!,"AAAAADW76wA=")</f>
        <v>#REF!</v>
      </c>
      <c r="B51" t="e">
        <f>AND(#REF!,"AAAAADW76wE=")</f>
        <v>#REF!</v>
      </c>
      <c r="C51" t="e">
        <f>AND(#REF!,"AAAAADW76wI=")</f>
        <v>#REF!</v>
      </c>
      <c r="D51" t="e">
        <f>AND(#REF!,"AAAAADW76wM=")</f>
        <v>#REF!</v>
      </c>
      <c r="E51" t="e">
        <f>AND(#REF!,"AAAAADW76wQ=")</f>
        <v>#REF!</v>
      </c>
      <c r="F51" t="e">
        <f>AND(#REF!,"AAAAADW76wU=")</f>
        <v>#REF!</v>
      </c>
      <c r="G51" t="e">
        <f>AND(#REF!,"AAAAADW76wY=")</f>
        <v>#REF!</v>
      </c>
      <c r="H51" t="e">
        <f>AND(#REF!,"AAAAADW76wc=")</f>
        <v>#REF!</v>
      </c>
      <c r="I51" t="e">
        <f>AND(#REF!,"AAAAADW76wg=")</f>
        <v>#REF!</v>
      </c>
      <c r="J51" t="e">
        <f>AND(#REF!,"AAAAADW76wk=")</f>
        <v>#REF!</v>
      </c>
      <c r="K51" t="e">
        <f>AND(#REF!,"AAAAADW76wo=")</f>
        <v>#REF!</v>
      </c>
      <c r="L51" t="e">
        <f>AND(#REF!,"AAAAADW76ws=")</f>
        <v>#REF!</v>
      </c>
      <c r="M51" t="e">
        <f>AND(#REF!,"AAAAADW76ww=")</f>
        <v>#REF!</v>
      </c>
      <c r="N51" t="e">
        <f>AND(#REF!,"AAAAADW76w0=")</f>
        <v>#REF!</v>
      </c>
      <c r="O51" t="e">
        <f>AND(#REF!,"AAAAADW76w4=")</f>
        <v>#REF!</v>
      </c>
      <c r="P51" t="e">
        <f>AND(#REF!,"AAAAADW76w8=")</f>
        <v>#REF!</v>
      </c>
      <c r="Q51" t="e">
        <f>AND(#REF!,"AAAAADW76xA=")</f>
        <v>#REF!</v>
      </c>
      <c r="R51" t="e">
        <f>AND(#REF!,"AAAAADW76xE=")</f>
        <v>#REF!</v>
      </c>
      <c r="S51" t="e">
        <f>AND(#REF!,"AAAAADW76xI=")</f>
        <v>#REF!</v>
      </c>
      <c r="T51" t="e">
        <f>AND(#REF!,"AAAAADW76xM=")</f>
        <v>#REF!</v>
      </c>
      <c r="U51" t="e">
        <f>AND(#REF!,"AAAAADW76xQ=")</f>
        <v>#REF!</v>
      </c>
      <c r="V51" t="e">
        <f>IF(#REF!,"AAAAADW76xU=",0)</f>
        <v>#REF!</v>
      </c>
      <c r="W51" t="e">
        <f>AND(#REF!,"AAAAADW76xY=")</f>
        <v>#REF!</v>
      </c>
      <c r="X51" t="e">
        <f>AND(#REF!,"AAAAADW76xc=")</f>
        <v>#REF!</v>
      </c>
      <c r="Y51" t="e">
        <f>AND(#REF!,"AAAAADW76xg=")</f>
        <v>#REF!</v>
      </c>
      <c r="Z51" t="e">
        <f>AND(#REF!,"AAAAADW76xk=")</f>
        <v>#REF!</v>
      </c>
      <c r="AA51" t="e">
        <f>AND(#REF!,"AAAAADW76xo=")</f>
        <v>#REF!</v>
      </c>
      <c r="AB51" t="e">
        <f>AND(#REF!,"AAAAADW76xs=")</f>
        <v>#REF!</v>
      </c>
      <c r="AC51" t="e">
        <f>AND(#REF!,"AAAAADW76xw=")</f>
        <v>#REF!</v>
      </c>
      <c r="AD51" t="e">
        <f>AND(#REF!,"AAAAADW76x0=")</f>
        <v>#REF!</v>
      </c>
      <c r="AE51" t="e">
        <f>AND(#REF!,"AAAAADW76x4=")</f>
        <v>#REF!</v>
      </c>
      <c r="AF51" t="e">
        <f>AND(#REF!,"AAAAADW76x8=")</f>
        <v>#REF!</v>
      </c>
      <c r="AG51" t="e">
        <f>AND(#REF!,"AAAAADW76yA=")</f>
        <v>#REF!</v>
      </c>
      <c r="AH51" t="e">
        <f>AND(#REF!,"AAAAADW76yE=")</f>
        <v>#REF!</v>
      </c>
      <c r="AI51" t="e">
        <f>AND(#REF!,"AAAAADW76yI=")</f>
        <v>#REF!</v>
      </c>
      <c r="AJ51" t="e">
        <f>AND(#REF!,"AAAAADW76yM=")</f>
        <v>#REF!</v>
      </c>
      <c r="AK51" t="e">
        <f>AND(#REF!,"AAAAADW76yQ=")</f>
        <v>#REF!</v>
      </c>
      <c r="AL51" t="e">
        <f>AND(#REF!,"AAAAADW76yU=")</f>
        <v>#REF!</v>
      </c>
      <c r="AM51" t="e">
        <f>AND(#REF!,"AAAAADW76yY=")</f>
        <v>#REF!</v>
      </c>
      <c r="AN51" t="e">
        <f>AND(#REF!,"AAAAADW76yc=")</f>
        <v>#REF!</v>
      </c>
      <c r="AO51" t="e">
        <f>AND(#REF!,"AAAAADW76yg=")</f>
        <v>#REF!</v>
      </c>
      <c r="AP51" t="e">
        <f>AND(#REF!,"AAAAADW76yk=")</f>
        <v>#REF!</v>
      </c>
      <c r="AQ51" t="e">
        <f>AND(#REF!,"AAAAADW76yo=")</f>
        <v>#REF!</v>
      </c>
      <c r="AR51" t="e">
        <f>AND(#REF!,"AAAAADW76ys=")</f>
        <v>#REF!</v>
      </c>
      <c r="AS51" t="e">
        <f>AND(#REF!,"AAAAADW76yw=")</f>
        <v>#REF!</v>
      </c>
      <c r="AT51" t="e">
        <f>IF(#REF!,"AAAAADW76y0=",0)</f>
        <v>#REF!</v>
      </c>
      <c r="AU51" t="e">
        <f>AND(#REF!,"AAAAADW76y4=")</f>
        <v>#REF!</v>
      </c>
      <c r="AV51" t="e">
        <f>AND(#REF!,"AAAAADW76y8=")</f>
        <v>#REF!</v>
      </c>
      <c r="AW51" t="e">
        <f>AND(#REF!,"AAAAADW76zA=")</f>
        <v>#REF!</v>
      </c>
      <c r="AX51" t="e">
        <f>AND(#REF!,"AAAAADW76zE=")</f>
        <v>#REF!</v>
      </c>
      <c r="AY51" t="e">
        <f>AND(#REF!,"AAAAADW76zI=")</f>
        <v>#REF!</v>
      </c>
      <c r="AZ51" t="e">
        <f>AND(#REF!,"AAAAADW76zM=")</f>
        <v>#REF!</v>
      </c>
      <c r="BA51" t="e">
        <f>AND(#REF!,"AAAAADW76zQ=")</f>
        <v>#REF!</v>
      </c>
      <c r="BB51" t="e">
        <f>AND(#REF!,"AAAAADW76zU=")</f>
        <v>#REF!</v>
      </c>
      <c r="BC51" t="e">
        <f>AND(#REF!,"AAAAADW76zY=")</f>
        <v>#REF!</v>
      </c>
      <c r="BD51" t="e">
        <f>AND(#REF!,"AAAAADW76zc=")</f>
        <v>#REF!</v>
      </c>
      <c r="BE51" t="e">
        <f>AND(#REF!,"AAAAADW76zg=")</f>
        <v>#REF!</v>
      </c>
      <c r="BF51" t="e">
        <f>AND(#REF!,"AAAAADW76zk=")</f>
        <v>#REF!</v>
      </c>
      <c r="BG51" t="e">
        <f>AND(#REF!,"AAAAADW76zo=")</f>
        <v>#REF!</v>
      </c>
      <c r="BH51" t="e">
        <f>AND(#REF!,"AAAAADW76zs=")</f>
        <v>#REF!</v>
      </c>
      <c r="BI51" t="e">
        <f>AND(#REF!,"AAAAADW76zw=")</f>
        <v>#REF!</v>
      </c>
      <c r="BJ51" t="e">
        <f>AND(#REF!,"AAAAADW76z0=")</f>
        <v>#REF!</v>
      </c>
      <c r="BK51" t="e">
        <f>AND(#REF!,"AAAAADW76z4=")</f>
        <v>#REF!</v>
      </c>
      <c r="BL51" t="e">
        <f>AND(#REF!,"AAAAADW76z8=")</f>
        <v>#REF!</v>
      </c>
      <c r="BM51" t="e">
        <f>AND(#REF!,"AAAAADW760A=")</f>
        <v>#REF!</v>
      </c>
      <c r="BN51" t="e">
        <f>AND(#REF!,"AAAAADW760E=")</f>
        <v>#REF!</v>
      </c>
      <c r="BO51" t="e">
        <f>AND(#REF!,"AAAAADW760I=")</f>
        <v>#REF!</v>
      </c>
      <c r="BP51" t="e">
        <f>AND(#REF!,"AAAAADW760M=")</f>
        <v>#REF!</v>
      </c>
      <c r="BQ51" t="e">
        <f>AND(#REF!,"AAAAADW760Q=")</f>
        <v>#REF!</v>
      </c>
      <c r="BR51" t="e">
        <f>IF(#REF!,"AAAAADW760U=",0)</f>
        <v>#REF!</v>
      </c>
      <c r="BS51" t="e">
        <f>AND(#REF!,"AAAAADW760Y=")</f>
        <v>#REF!</v>
      </c>
      <c r="BT51" t="e">
        <f>AND(#REF!,"AAAAADW760c=")</f>
        <v>#REF!</v>
      </c>
      <c r="BU51" t="e">
        <f>AND(#REF!,"AAAAADW760g=")</f>
        <v>#REF!</v>
      </c>
      <c r="BV51" t="e">
        <f>AND(#REF!,"AAAAADW760k=")</f>
        <v>#REF!</v>
      </c>
      <c r="BW51" t="e">
        <f>AND(#REF!,"AAAAADW760o=")</f>
        <v>#REF!</v>
      </c>
      <c r="BX51" t="e">
        <f>AND(#REF!,"AAAAADW760s=")</f>
        <v>#REF!</v>
      </c>
      <c r="BY51" t="e">
        <f>AND(#REF!,"AAAAADW760w=")</f>
        <v>#REF!</v>
      </c>
      <c r="BZ51" t="e">
        <f>AND(#REF!,"AAAAADW7600=")</f>
        <v>#REF!</v>
      </c>
      <c r="CA51" t="e">
        <f>AND(#REF!,"AAAAADW7604=")</f>
        <v>#REF!</v>
      </c>
      <c r="CB51" t="e">
        <f>AND(#REF!,"AAAAADW7608=")</f>
        <v>#REF!</v>
      </c>
      <c r="CC51" t="e">
        <f>AND(#REF!,"AAAAADW761A=")</f>
        <v>#REF!</v>
      </c>
      <c r="CD51" t="e">
        <f>AND(#REF!,"AAAAADW761E=")</f>
        <v>#REF!</v>
      </c>
      <c r="CE51" t="e">
        <f>AND(#REF!,"AAAAADW761I=")</f>
        <v>#REF!</v>
      </c>
      <c r="CF51" t="e">
        <f>AND(#REF!,"AAAAADW761M=")</f>
        <v>#REF!</v>
      </c>
      <c r="CG51" t="e">
        <f>AND(#REF!,"AAAAADW761Q=")</f>
        <v>#REF!</v>
      </c>
      <c r="CH51" t="e">
        <f>AND(#REF!,"AAAAADW761U=")</f>
        <v>#REF!</v>
      </c>
      <c r="CI51" t="e">
        <f>AND(#REF!,"AAAAADW761Y=")</f>
        <v>#REF!</v>
      </c>
      <c r="CJ51" t="e">
        <f>AND(#REF!,"AAAAADW761c=")</f>
        <v>#REF!</v>
      </c>
      <c r="CK51" t="e">
        <f>AND(#REF!,"AAAAADW761g=")</f>
        <v>#REF!</v>
      </c>
      <c r="CL51" t="e">
        <f>AND(#REF!,"AAAAADW761k=")</f>
        <v>#REF!</v>
      </c>
      <c r="CM51" t="e">
        <f>AND(#REF!,"AAAAADW761o=")</f>
        <v>#REF!</v>
      </c>
      <c r="CN51" t="e">
        <f>AND(#REF!,"AAAAADW761s=")</f>
        <v>#REF!</v>
      </c>
      <c r="CO51" t="e">
        <f>AND(#REF!,"AAAAADW761w=")</f>
        <v>#REF!</v>
      </c>
      <c r="CP51" t="e">
        <f>IF(#REF!,"AAAAADW7610=",0)</f>
        <v>#REF!</v>
      </c>
      <c r="CQ51" t="e">
        <f>AND(#REF!,"AAAAADW7614=")</f>
        <v>#REF!</v>
      </c>
      <c r="CR51" t="e">
        <f>AND(#REF!,"AAAAADW7618=")</f>
        <v>#REF!</v>
      </c>
      <c r="CS51" t="e">
        <f>AND(#REF!,"AAAAADW762A=")</f>
        <v>#REF!</v>
      </c>
      <c r="CT51" t="e">
        <f>AND(#REF!,"AAAAADW762E=")</f>
        <v>#REF!</v>
      </c>
      <c r="CU51" t="e">
        <f>AND(#REF!,"AAAAADW762I=")</f>
        <v>#REF!</v>
      </c>
      <c r="CV51" t="e">
        <f>AND(#REF!,"AAAAADW762M=")</f>
        <v>#REF!</v>
      </c>
      <c r="CW51" t="e">
        <f>AND(#REF!,"AAAAADW762Q=")</f>
        <v>#REF!</v>
      </c>
      <c r="CX51" t="e">
        <f>AND(#REF!,"AAAAADW762U=")</f>
        <v>#REF!</v>
      </c>
      <c r="CY51" t="e">
        <f>AND(#REF!,"AAAAADW762Y=")</f>
        <v>#REF!</v>
      </c>
      <c r="CZ51" t="e">
        <f>AND(#REF!,"AAAAADW762c=")</f>
        <v>#REF!</v>
      </c>
      <c r="DA51" t="e">
        <f>AND(#REF!,"AAAAADW762g=")</f>
        <v>#REF!</v>
      </c>
      <c r="DB51" t="e">
        <f>AND(#REF!,"AAAAADW762k=")</f>
        <v>#REF!</v>
      </c>
      <c r="DC51" t="e">
        <f>AND(#REF!,"AAAAADW762o=")</f>
        <v>#REF!</v>
      </c>
      <c r="DD51" t="e">
        <f>AND(#REF!,"AAAAADW762s=")</f>
        <v>#REF!</v>
      </c>
      <c r="DE51" t="e">
        <f>AND(#REF!,"AAAAADW762w=")</f>
        <v>#REF!</v>
      </c>
      <c r="DF51" t="e">
        <f>AND(#REF!,"AAAAADW7620=")</f>
        <v>#REF!</v>
      </c>
      <c r="DG51" t="e">
        <f>AND(#REF!,"AAAAADW7624=")</f>
        <v>#REF!</v>
      </c>
      <c r="DH51" t="e">
        <f>AND(#REF!,"AAAAADW7628=")</f>
        <v>#REF!</v>
      </c>
      <c r="DI51" t="e">
        <f>AND(#REF!,"AAAAADW763A=")</f>
        <v>#REF!</v>
      </c>
      <c r="DJ51" t="e">
        <f>AND(#REF!,"AAAAADW763E=")</f>
        <v>#REF!</v>
      </c>
      <c r="DK51" t="e">
        <f>AND(#REF!,"AAAAADW763I=")</f>
        <v>#REF!</v>
      </c>
      <c r="DL51" t="e">
        <f>AND(#REF!,"AAAAADW763M=")</f>
        <v>#REF!</v>
      </c>
      <c r="DM51" t="e">
        <f>AND(#REF!,"AAAAADW763Q=")</f>
        <v>#REF!</v>
      </c>
      <c r="DN51" t="e">
        <f>IF(#REF!,"AAAAADW763U=",0)</f>
        <v>#REF!</v>
      </c>
      <c r="DO51" t="e">
        <f>AND(#REF!,"AAAAADW763Y=")</f>
        <v>#REF!</v>
      </c>
      <c r="DP51" t="e">
        <f>AND(#REF!,"AAAAADW763c=")</f>
        <v>#REF!</v>
      </c>
      <c r="DQ51" t="e">
        <f>AND(#REF!,"AAAAADW763g=")</f>
        <v>#REF!</v>
      </c>
      <c r="DR51" t="e">
        <f>AND(#REF!,"AAAAADW763k=")</f>
        <v>#REF!</v>
      </c>
      <c r="DS51" t="e">
        <f>AND(#REF!,"AAAAADW763o=")</f>
        <v>#REF!</v>
      </c>
      <c r="DT51" t="e">
        <f>AND(#REF!,"AAAAADW763s=")</f>
        <v>#REF!</v>
      </c>
      <c r="DU51" t="e">
        <f>AND(#REF!,"AAAAADW763w=")</f>
        <v>#REF!</v>
      </c>
      <c r="DV51" t="e">
        <f>AND(#REF!,"AAAAADW7630=")</f>
        <v>#REF!</v>
      </c>
      <c r="DW51" t="e">
        <f>AND(#REF!,"AAAAADW7634=")</f>
        <v>#REF!</v>
      </c>
      <c r="DX51" t="e">
        <f>AND(#REF!,"AAAAADW7638=")</f>
        <v>#REF!</v>
      </c>
      <c r="DY51" t="e">
        <f>AND(#REF!,"AAAAADW764A=")</f>
        <v>#REF!</v>
      </c>
      <c r="DZ51" t="e">
        <f>AND(#REF!,"AAAAADW764E=")</f>
        <v>#REF!</v>
      </c>
      <c r="EA51" t="e">
        <f>AND(#REF!,"AAAAADW764I=")</f>
        <v>#REF!</v>
      </c>
      <c r="EB51" t="e">
        <f>AND(#REF!,"AAAAADW764M=")</f>
        <v>#REF!</v>
      </c>
      <c r="EC51" t="e">
        <f>AND(#REF!,"AAAAADW764Q=")</f>
        <v>#REF!</v>
      </c>
      <c r="ED51" t="e">
        <f>AND(#REF!,"AAAAADW764U=")</f>
        <v>#REF!</v>
      </c>
      <c r="EE51" t="e">
        <f>AND(#REF!,"AAAAADW764Y=")</f>
        <v>#REF!</v>
      </c>
      <c r="EF51" t="e">
        <f>AND(#REF!,"AAAAADW764c=")</f>
        <v>#REF!</v>
      </c>
      <c r="EG51" t="e">
        <f>AND(#REF!,"AAAAADW764g=")</f>
        <v>#REF!</v>
      </c>
      <c r="EH51" t="e">
        <f>AND(#REF!,"AAAAADW764k=")</f>
        <v>#REF!</v>
      </c>
      <c r="EI51" t="e">
        <f>AND(#REF!,"AAAAADW764o=")</f>
        <v>#REF!</v>
      </c>
      <c r="EJ51" t="e">
        <f>AND(#REF!,"AAAAADW764s=")</f>
        <v>#REF!</v>
      </c>
      <c r="EK51" t="e">
        <f>AND(#REF!,"AAAAADW764w=")</f>
        <v>#REF!</v>
      </c>
      <c r="EL51" t="e">
        <f>IF(#REF!,"AAAAADW7640=",0)</f>
        <v>#REF!</v>
      </c>
      <c r="EM51" t="e">
        <f>AND(#REF!,"AAAAADW7644=")</f>
        <v>#REF!</v>
      </c>
      <c r="EN51" t="e">
        <f>AND(#REF!,"AAAAADW7648=")</f>
        <v>#REF!</v>
      </c>
      <c r="EO51" t="e">
        <f>AND(#REF!,"AAAAADW765A=")</f>
        <v>#REF!</v>
      </c>
      <c r="EP51" t="e">
        <f>AND(#REF!,"AAAAADW765E=")</f>
        <v>#REF!</v>
      </c>
      <c r="EQ51" t="e">
        <f>AND(#REF!,"AAAAADW765I=")</f>
        <v>#REF!</v>
      </c>
      <c r="ER51" t="e">
        <f>AND(#REF!,"AAAAADW765M=")</f>
        <v>#REF!</v>
      </c>
      <c r="ES51" t="e">
        <f>AND(#REF!,"AAAAADW765Q=")</f>
        <v>#REF!</v>
      </c>
      <c r="ET51" t="e">
        <f>AND(#REF!,"AAAAADW765U=")</f>
        <v>#REF!</v>
      </c>
      <c r="EU51" t="e">
        <f>AND(#REF!,"AAAAADW765Y=")</f>
        <v>#REF!</v>
      </c>
      <c r="EV51" t="e">
        <f>AND(#REF!,"AAAAADW765c=")</f>
        <v>#REF!</v>
      </c>
      <c r="EW51" t="e">
        <f>AND(#REF!,"AAAAADW765g=")</f>
        <v>#REF!</v>
      </c>
      <c r="EX51" t="e">
        <f>AND(#REF!,"AAAAADW765k=")</f>
        <v>#REF!</v>
      </c>
      <c r="EY51" t="e">
        <f>AND(#REF!,"AAAAADW765o=")</f>
        <v>#REF!</v>
      </c>
      <c r="EZ51" t="e">
        <f>AND(#REF!,"AAAAADW765s=")</f>
        <v>#REF!</v>
      </c>
      <c r="FA51" t="e">
        <f>AND(#REF!,"AAAAADW765w=")</f>
        <v>#REF!</v>
      </c>
      <c r="FB51" t="e">
        <f>AND(#REF!,"AAAAADW7650=")</f>
        <v>#REF!</v>
      </c>
      <c r="FC51" t="e">
        <f>AND(#REF!,"AAAAADW7654=")</f>
        <v>#REF!</v>
      </c>
      <c r="FD51" t="e">
        <f>AND(#REF!,"AAAAADW7658=")</f>
        <v>#REF!</v>
      </c>
      <c r="FE51" t="e">
        <f>AND(#REF!,"AAAAADW766A=")</f>
        <v>#REF!</v>
      </c>
      <c r="FF51" t="e">
        <f>AND(#REF!,"AAAAADW766E=")</f>
        <v>#REF!</v>
      </c>
      <c r="FG51" t="e">
        <f>AND(#REF!,"AAAAADW766I=")</f>
        <v>#REF!</v>
      </c>
      <c r="FH51" t="e">
        <f>AND(#REF!,"AAAAADW766M=")</f>
        <v>#REF!</v>
      </c>
      <c r="FI51" t="e">
        <f>AND(#REF!,"AAAAADW766Q=")</f>
        <v>#REF!</v>
      </c>
      <c r="FJ51" t="e">
        <f>IF(#REF!,"AAAAADW766U=",0)</f>
        <v>#REF!</v>
      </c>
      <c r="FK51" t="e">
        <f>AND(#REF!,"AAAAADW766Y=")</f>
        <v>#REF!</v>
      </c>
      <c r="FL51" t="e">
        <f>AND(#REF!,"AAAAADW766c=")</f>
        <v>#REF!</v>
      </c>
      <c r="FM51" t="e">
        <f>AND(#REF!,"AAAAADW766g=")</f>
        <v>#REF!</v>
      </c>
      <c r="FN51" t="e">
        <f>AND(#REF!,"AAAAADW766k=")</f>
        <v>#REF!</v>
      </c>
      <c r="FO51" t="e">
        <f>AND(#REF!,"AAAAADW766o=")</f>
        <v>#REF!</v>
      </c>
      <c r="FP51" t="e">
        <f>AND(#REF!,"AAAAADW766s=")</f>
        <v>#REF!</v>
      </c>
      <c r="FQ51" t="e">
        <f>AND(#REF!,"AAAAADW766w=")</f>
        <v>#REF!</v>
      </c>
      <c r="FR51" t="e">
        <f>AND(#REF!,"AAAAADW7660=")</f>
        <v>#REF!</v>
      </c>
      <c r="FS51" t="e">
        <f>AND(#REF!,"AAAAADW7664=")</f>
        <v>#REF!</v>
      </c>
      <c r="FT51" t="e">
        <f>AND(#REF!,"AAAAADW7668=")</f>
        <v>#REF!</v>
      </c>
      <c r="FU51" t="e">
        <f>AND(#REF!,"AAAAADW767A=")</f>
        <v>#REF!</v>
      </c>
      <c r="FV51" t="e">
        <f>AND(#REF!,"AAAAADW767E=")</f>
        <v>#REF!</v>
      </c>
      <c r="FW51" t="e">
        <f>AND(#REF!,"AAAAADW767I=")</f>
        <v>#REF!</v>
      </c>
      <c r="FX51" t="e">
        <f>AND(#REF!,"AAAAADW767M=")</f>
        <v>#REF!</v>
      </c>
      <c r="FY51" t="e">
        <f>AND(#REF!,"AAAAADW767Q=")</f>
        <v>#REF!</v>
      </c>
      <c r="FZ51" t="e">
        <f>AND(#REF!,"AAAAADW767U=")</f>
        <v>#REF!</v>
      </c>
      <c r="GA51" t="e">
        <f>AND(#REF!,"AAAAADW767Y=")</f>
        <v>#REF!</v>
      </c>
      <c r="GB51" t="e">
        <f>AND(#REF!,"AAAAADW767c=")</f>
        <v>#REF!</v>
      </c>
      <c r="GC51" t="e">
        <f>AND(#REF!,"AAAAADW767g=")</f>
        <v>#REF!</v>
      </c>
      <c r="GD51" t="e">
        <f>AND(#REF!,"AAAAADW767k=")</f>
        <v>#REF!</v>
      </c>
      <c r="GE51" t="e">
        <f>AND(#REF!,"AAAAADW767o=")</f>
        <v>#REF!</v>
      </c>
      <c r="GF51" t="e">
        <f>AND(#REF!,"AAAAADW767s=")</f>
        <v>#REF!</v>
      </c>
      <c r="GG51" t="e">
        <f>AND(#REF!,"AAAAADW767w=")</f>
        <v>#REF!</v>
      </c>
      <c r="GH51" t="e">
        <f>IF(#REF!,"AAAAADW7670=",0)</f>
        <v>#REF!</v>
      </c>
      <c r="GI51" t="e">
        <f>AND(#REF!,"AAAAADW7674=")</f>
        <v>#REF!</v>
      </c>
      <c r="GJ51" t="e">
        <f>AND(#REF!,"AAAAADW7678=")</f>
        <v>#REF!</v>
      </c>
      <c r="GK51" t="e">
        <f>AND(#REF!,"AAAAADW768A=")</f>
        <v>#REF!</v>
      </c>
      <c r="GL51" t="e">
        <f>AND(#REF!,"AAAAADW768E=")</f>
        <v>#REF!</v>
      </c>
      <c r="GM51" t="e">
        <f>AND(#REF!,"AAAAADW768I=")</f>
        <v>#REF!</v>
      </c>
      <c r="GN51" t="e">
        <f>AND(#REF!,"AAAAADW768M=")</f>
        <v>#REF!</v>
      </c>
      <c r="GO51" t="e">
        <f>AND(#REF!,"AAAAADW768Q=")</f>
        <v>#REF!</v>
      </c>
      <c r="GP51" t="e">
        <f>AND(#REF!,"AAAAADW768U=")</f>
        <v>#REF!</v>
      </c>
      <c r="GQ51" t="e">
        <f>AND(#REF!,"AAAAADW768Y=")</f>
        <v>#REF!</v>
      </c>
      <c r="GR51" t="e">
        <f>AND(#REF!,"AAAAADW768c=")</f>
        <v>#REF!</v>
      </c>
      <c r="GS51" t="e">
        <f>AND(#REF!,"AAAAADW768g=")</f>
        <v>#REF!</v>
      </c>
      <c r="GT51" t="e">
        <f>AND(#REF!,"AAAAADW768k=")</f>
        <v>#REF!</v>
      </c>
      <c r="GU51" t="e">
        <f>AND(#REF!,"AAAAADW768o=")</f>
        <v>#REF!</v>
      </c>
      <c r="GV51" t="e">
        <f>AND(#REF!,"AAAAADW768s=")</f>
        <v>#REF!</v>
      </c>
      <c r="GW51" t="e">
        <f>AND(#REF!,"AAAAADW768w=")</f>
        <v>#REF!</v>
      </c>
      <c r="GX51" t="e">
        <f>AND(#REF!,"AAAAADW7680=")</f>
        <v>#REF!</v>
      </c>
      <c r="GY51" t="e">
        <f>AND(#REF!,"AAAAADW7684=")</f>
        <v>#REF!</v>
      </c>
      <c r="GZ51" t="e">
        <f>AND(#REF!,"AAAAADW7688=")</f>
        <v>#REF!</v>
      </c>
      <c r="HA51" t="e">
        <f>AND(#REF!,"AAAAADW769A=")</f>
        <v>#REF!</v>
      </c>
      <c r="HB51" t="e">
        <f>AND(#REF!,"AAAAADW769E=")</f>
        <v>#REF!</v>
      </c>
      <c r="HC51" t="e">
        <f>AND(#REF!,"AAAAADW769I=")</f>
        <v>#REF!</v>
      </c>
      <c r="HD51" t="e">
        <f>AND(#REF!,"AAAAADW769M=")</f>
        <v>#REF!</v>
      </c>
      <c r="HE51" t="e">
        <f>AND(#REF!,"AAAAADW769Q=")</f>
        <v>#REF!</v>
      </c>
      <c r="HF51" t="e">
        <f>IF(#REF!,"AAAAADW769U=",0)</f>
        <v>#REF!</v>
      </c>
      <c r="HG51" t="e">
        <f>AND(#REF!,"AAAAADW769Y=")</f>
        <v>#REF!</v>
      </c>
      <c r="HH51" t="e">
        <f>AND(#REF!,"AAAAADW769c=")</f>
        <v>#REF!</v>
      </c>
      <c r="HI51" t="e">
        <f>AND(#REF!,"AAAAADW769g=")</f>
        <v>#REF!</v>
      </c>
      <c r="HJ51" t="e">
        <f>AND(#REF!,"AAAAADW769k=")</f>
        <v>#REF!</v>
      </c>
      <c r="HK51" t="e">
        <f>AND(#REF!,"AAAAADW769o=")</f>
        <v>#REF!</v>
      </c>
      <c r="HL51" t="e">
        <f>AND(#REF!,"AAAAADW769s=")</f>
        <v>#REF!</v>
      </c>
      <c r="HM51" t="e">
        <f>AND(#REF!,"AAAAADW769w=")</f>
        <v>#REF!</v>
      </c>
      <c r="HN51" t="e">
        <f>AND(#REF!,"AAAAADW7690=")</f>
        <v>#REF!</v>
      </c>
      <c r="HO51" t="e">
        <f>AND(#REF!,"AAAAADW7694=")</f>
        <v>#REF!</v>
      </c>
      <c r="HP51" t="e">
        <f>AND(#REF!,"AAAAADW7698=")</f>
        <v>#REF!</v>
      </c>
      <c r="HQ51" t="e">
        <f>AND(#REF!,"AAAAADW76+A=")</f>
        <v>#REF!</v>
      </c>
      <c r="HR51" t="e">
        <f>AND(#REF!,"AAAAADW76+E=")</f>
        <v>#REF!</v>
      </c>
      <c r="HS51" t="e">
        <f>AND(#REF!,"AAAAADW76+I=")</f>
        <v>#REF!</v>
      </c>
      <c r="HT51" t="e">
        <f>AND(#REF!,"AAAAADW76+M=")</f>
        <v>#REF!</v>
      </c>
      <c r="HU51" t="e">
        <f>AND(#REF!,"AAAAADW76+Q=")</f>
        <v>#REF!</v>
      </c>
      <c r="HV51" t="e">
        <f>AND(#REF!,"AAAAADW76+U=")</f>
        <v>#REF!</v>
      </c>
      <c r="HW51" t="e">
        <f>AND(#REF!,"AAAAADW76+Y=")</f>
        <v>#REF!</v>
      </c>
      <c r="HX51" t="e">
        <f>AND(#REF!,"AAAAADW76+c=")</f>
        <v>#REF!</v>
      </c>
      <c r="HY51" t="e">
        <f>AND(#REF!,"AAAAADW76+g=")</f>
        <v>#REF!</v>
      </c>
      <c r="HZ51" t="e">
        <f>AND(#REF!,"AAAAADW76+k=")</f>
        <v>#REF!</v>
      </c>
      <c r="IA51" t="e">
        <f>AND(#REF!,"AAAAADW76+o=")</f>
        <v>#REF!</v>
      </c>
      <c r="IB51" t="e">
        <f>AND(#REF!,"AAAAADW76+s=")</f>
        <v>#REF!</v>
      </c>
      <c r="IC51" t="e">
        <f>AND(#REF!,"AAAAADW76+w=")</f>
        <v>#REF!</v>
      </c>
      <c r="ID51" t="e">
        <f>IF(#REF!,"AAAAADW76+0=",0)</f>
        <v>#REF!</v>
      </c>
      <c r="IE51" t="e">
        <f>AND(#REF!,"AAAAADW76+4=")</f>
        <v>#REF!</v>
      </c>
      <c r="IF51" t="e">
        <f>AND(#REF!,"AAAAADW76+8=")</f>
        <v>#REF!</v>
      </c>
      <c r="IG51" t="e">
        <f>AND(#REF!,"AAAAADW76/A=")</f>
        <v>#REF!</v>
      </c>
      <c r="IH51" t="e">
        <f>AND(#REF!,"AAAAADW76/E=")</f>
        <v>#REF!</v>
      </c>
      <c r="II51" t="e">
        <f>AND(#REF!,"AAAAADW76/I=")</f>
        <v>#REF!</v>
      </c>
      <c r="IJ51" t="e">
        <f>AND(#REF!,"AAAAADW76/M=")</f>
        <v>#REF!</v>
      </c>
      <c r="IK51" t="e">
        <f>AND(#REF!,"AAAAADW76/Q=")</f>
        <v>#REF!</v>
      </c>
      <c r="IL51" t="e">
        <f>AND(#REF!,"AAAAADW76/U=")</f>
        <v>#REF!</v>
      </c>
      <c r="IM51" t="e">
        <f>AND(#REF!,"AAAAADW76/Y=")</f>
        <v>#REF!</v>
      </c>
      <c r="IN51" t="e">
        <f>AND(#REF!,"AAAAADW76/c=")</f>
        <v>#REF!</v>
      </c>
      <c r="IO51" t="e">
        <f>AND(#REF!,"AAAAADW76/g=")</f>
        <v>#REF!</v>
      </c>
      <c r="IP51" t="e">
        <f>AND(#REF!,"AAAAADW76/k=")</f>
        <v>#REF!</v>
      </c>
      <c r="IQ51" t="e">
        <f>AND(#REF!,"AAAAADW76/o=")</f>
        <v>#REF!</v>
      </c>
      <c r="IR51" t="e">
        <f>AND(#REF!,"AAAAADW76/s=")</f>
        <v>#REF!</v>
      </c>
      <c r="IS51" t="e">
        <f>AND(#REF!,"AAAAADW76/w=")</f>
        <v>#REF!</v>
      </c>
      <c r="IT51" t="e">
        <f>AND(#REF!,"AAAAADW76/0=")</f>
        <v>#REF!</v>
      </c>
      <c r="IU51" t="e">
        <f>AND(#REF!,"AAAAADW76/4=")</f>
        <v>#REF!</v>
      </c>
      <c r="IV51" t="e">
        <f>AND(#REF!,"AAAAADW76/8=")</f>
        <v>#REF!</v>
      </c>
    </row>
    <row r="52" spans="1:256" x14ac:dyDescent="0.15">
      <c r="A52" t="e">
        <f>AND(#REF!,"AAAAAEfn5QA=")</f>
        <v>#REF!</v>
      </c>
      <c r="B52" t="e">
        <f>AND(#REF!,"AAAAAEfn5QE=")</f>
        <v>#REF!</v>
      </c>
      <c r="C52" t="e">
        <f>AND(#REF!,"AAAAAEfn5QI=")</f>
        <v>#REF!</v>
      </c>
      <c r="D52" t="e">
        <f>AND(#REF!,"AAAAAEfn5QM=")</f>
        <v>#REF!</v>
      </c>
      <c r="E52" t="e">
        <f>AND(#REF!,"AAAAAEfn5QQ=")</f>
        <v>#REF!</v>
      </c>
      <c r="F52" t="e">
        <f>IF(#REF!,"AAAAAEfn5QU=",0)</f>
        <v>#REF!</v>
      </c>
      <c r="G52" t="e">
        <f>AND(#REF!,"AAAAAEfn5QY=")</f>
        <v>#REF!</v>
      </c>
      <c r="H52" t="e">
        <f>AND(#REF!,"AAAAAEfn5Qc=")</f>
        <v>#REF!</v>
      </c>
      <c r="I52" t="e">
        <f>AND(#REF!,"AAAAAEfn5Qg=")</f>
        <v>#REF!</v>
      </c>
      <c r="J52" t="e">
        <f>AND(#REF!,"AAAAAEfn5Qk=")</f>
        <v>#REF!</v>
      </c>
      <c r="K52" t="e">
        <f>AND(#REF!,"AAAAAEfn5Qo=")</f>
        <v>#REF!</v>
      </c>
      <c r="L52" t="e">
        <f>AND(#REF!,"AAAAAEfn5Qs=")</f>
        <v>#REF!</v>
      </c>
      <c r="M52" t="e">
        <f>AND(#REF!,"AAAAAEfn5Qw=")</f>
        <v>#REF!</v>
      </c>
      <c r="N52" t="e">
        <f>AND(#REF!,"AAAAAEfn5Q0=")</f>
        <v>#REF!</v>
      </c>
      <c r="O52" t="e">
        <f>AND(#REF!,"AAAAAEfn5Q4=")</f>
        <v>#REF!</v>
      </c>
      <c r="P52" t="e">
        <f>AND(#REF!,"AAAAAEfn5Q8=")</f>
        <v>#REF!</v>
      </c>
      <c r="Q52" t="e">
        <f>AND(#REF!,"AAAAAEfn5RA=")</f>
        <v>#REF!</v>
      </c>
      <c r="R52" t="e">
        <f>AND(#REF!,"AAAAAEfn5RE=")</f>
        <v>#REF!</v>
      </c>
      <c r="S52" t="e">
        <f>AND(#REF!,"AAAAAEfn5RI=")</f>
        <v>#REF!</v>
      </c>
      <c r="T52" t="e">
        <f>AND(#REF!,"AAAAAEfn5RM=")</f>
        <v>#REF!</v>
      </c>
      <c r="U52" t="e">
        <f>AND(#REF!,"AAAAAEfn5RQ=")</f>
        <v>#REF!</v>
      </c>
      <c r="V52" t="e">
        <f>AND(#REF!,"AAAAAEfn5RU=")</f>
        <v>#REF!</v>
      </c>
      <c r="W52" t="e">
        <f>AND(#REF!,"AAAAAEfn5RY=")</f>
        <v>#REF!</v>
      </c>
      <c r="X52" t="e">
        <f>AND(#REF!,"AAAAAEfn5Rc=")</f>
        <v>#REF!</v>
      </c>
      <c r="Y52" t="e">
        <f>AND(#REF!,"AAAAAEfn5Rg=")</f>
        <v>#REF!</v>
      </c>
      <c r="Z52" t="e">
        <f>AND(#REF!,"AAAAAEfn5Rk=")</f>
        <v>#REF!</v>
      </c>
      <c r="AA52" t="e">
        <f>AND(#REF!,"AAAAAEfn5Ro=")</f>
        <v>#REF!</v>
      </c>
      <c r="AB52" t="e">
        <f>AND(#REF!,"AAAAAEfn5Rs=")</f>
        <v>#REF!</v>
      </c>
      <c r="AC52" t="e">
        <f>AND(#REF!,"AAAAAEfn5Rw=")</f>
        <v>#REF!</v>
      </c>
      <c r="AD52" t="e">
        <f>IF(#REF!,"AAAAAEfn5R0=",0)</f>
        <v>#REF!</v>
      </c>
      <c r="AE52" t="e">
        <f>AND(#REF!,"AAAAAEfn5R4=")</f>
        <v>#REF!</v>
      </c>
      <c r="AF52" t="e">
        <f>AND(#REF!,"AAAAAEfn5R8=")</f>
        <v>#REF!</v>
      </c>
      <c r="AG52" t="e">
        <f>AND(#REF!,"AAAAAEfn5SA=")</f>
        <v>#REF!</v>
      </c>
      <c r="AH52" t="e">
        <f>AND(#REF!,"AAAAAEfn5SE=")</f>
        <v>#REF!</v>
      </c>
      <c r="AI52" t="e">
        <f>AND(#REF!,"AAAAAEfn5SI=")</f>
        <v>#REF!</v>
      </c>
      <c r="AJ52" t="e">
        <f>AND(#REF!,"AAAAAEfn5SM=")</f>
        <v>#REF!</v>
      </c>
      <c r="AK52" t="e">
        <f>AND(#REF!,"AAAAAEfn5SQ=")</f>
        <v>#REF!</v>
      </c>
      <c r="AL52" t="e">
        <f>AND(#REF!,"AAAAAEfn5SU=")</f>
        <v>#REF!</v>
      </c>
      <c r="AM52" t="e">
        <f>AND(#REF!,"AAAAAEfn5SY=")</f>
        <v>#REF!</v>
      </c>
      <c r="AN52" t="e">
        <f>AND(#REF!,"AAAAAEfn5Sc=")</f>
        <v>#REF!</v>
      </c>
      <c r="AO52" t="e">
        <f>AND(#REF!,"AAAAAEfn5Sg=")</f>
        <v>#REF!</v>
      </c>
      <c r="AP52" t="e">
        <f>AND(#REF!,"AAAAAEfn5Sk=")</f>
        <v>#REF!</v>
      </c>
      <c r="AQ52" t="e">
        <f>AND(#REF!,"AAAAAEfn5So=")</f>
        <v>#REF!</v>
      </c>
      <c r="AR52" t="e">
        <f>AND(#REF!,"AAAAAEfn5Ss=")</f>
        <v>#REF!</v>
      </c>
      <c r="AS52" t="e">
        <f>AND(#REF!,"AAAAAEfn5Sw=")</f>
        <v>#REF!</v>
      </c>
      <c r="AT52" t="e">
        <f>AND(#REF!,"AAAAAEfn5S0=")</f>
        <v>#REF!</v>
      </c>
      <c r="AU52" t="e">
        <f>AND(#REF!,"AAAAAEfn5S4=")</f>
        <v>#REF!</v>
      </c>
      <c r="AV52" t="e">
        <f>AND(#REF!,"AAAAAEfn5S8=")</f>
        <v>#REF!</v>
      </c>
      <c r="AW52" t="e">
        <f>AND(#REF!,"AAAAAEfn5TA=")</f>
        <v>#REF!</v>
      </c>
      <c r="AX52" t="e">
        <f>AND(#REF!,"AAAAAEfn5TE=")</f>
        <v>#REF!</v>
      </c>
      <c r="AY52" t="e">
        <f>AND(#REF!,"AAAAAEfn5TI=")</f>
        <v>#REF!</v>
      </c>
      <c r="AZ52" t="e">
        <f>AND(#REF!,"AAAAAEfn5TM=")</f>
        <v>#REF!</v>
      </c>
      <c r="BA52" t="e">
        <f>AND(#REF!,"AAAAAEfn5TQ=")</f>
        <v>#REF!</v>
      </c>
      <c r="BB52" t="e">
        <f>IF(#REF!,"AAAAAEfn5TU=",0)</f>
        <v>#REF!</v>
      </c>
      <c r="BC52" t="e">
        <f>AND(#REF!,"AAAAAEfn5TY=")</f>
        <v>#REF!</v>
      </c>
      <c r="BD52" t="e">
        <f>AND(#REF!,"AAAAAEfn5Tc=")</f>
        <v>#REF!</v>
      </c>
      <c r="BE52" t="e">
        <f>AND(#REF!,"AAAAAEfn5Tg=")</f>
        <v>#REF!</v>
      </c>
      <c r="BF52" t="e">
        <f>AND(#REF!,"AAAAAEfn5Tk=")</f>
        <v>#REF!</v>
      </c>
      <c r="BG52" t="e">
        <f>AND(#REF!,"AAAAAEfn5To=")</f>
        <v>#REF!</v>
      </c>
      <c r="BH52" t="e">
        <f>AND(#REF!,"AAAAAEfn5Ts=")</f>
        <v>#REF!</v>
      </c>
      <c r="BI52" t="e">
        <f>AND(#REF!,"AAAAAEfn5Tw=")</f>
        <v>#REF!</v>
      </c>
      <c r="BJ52" t="e">
        <f>AND(#REF!,"AAAAAEfn5T0=")</f>
        <v>#REF!</v>
      </c>
      <c r="BK52" t="e">
        <f>AND(#REF!,"AAAAAEfn5T4=")</f>
        <v>#REF!</v>
      </c>
      <c r="BL52" t="e">
        <f>AND(#REF!,"AAAAAEfn5T8=")</f>
        <v>#REF!</v>
      </c>
      <c r="BM52" t="e">
        <f>AND(#REF!,"AAAAAEfn5UA=")</f>
        <v>#REF!</v>
      </c>
      <c r="BN52" t="e">
        <f>AND(#REF!,"AAAAAEfn5UE=")</f>
        <v>#REF!</v>
      </c>
      <c r="BO52" t="e">
        <f>AND(#REF!,"AAAAAEfn5UI=")</f>
        <v>#REF!</v>
      </c>
      <c r="BP52" t="e">
        <f>AND(#REF!,"AAAAAEfn5UM=")</f>
        <v>#REF!</v>
      </c>
      <c r="BQ52" t="e">
        <f>AND(#REF!,"AAAAAEfn5UQ=")</f>
        <v>#REF!</v>
      </c>
      <c r="BR52" t="e">
        <f>AND(#REF!,"AAAAAEfn5UU=")</f>
        <v>#REF!</v>
      </c>
      <c r="BS52" t="e">
        <f>AND(#REF!,"AAAAAEfn5UY=")</f>
        <v>#REF!</v>
      </c>
      <c r="BT52" t="e">
        <f>AND(#REF!,"AAAAAEfn5Uc=")</f>
        <v>#REF!</v>
      </c>
      <c r="BU52" t="e">
        <f>AND(#REF!,"AAAAAEfn5Ug=")</f>
        <v>#REF!</v>
      </c>
      <c r="BV52" t="e">
        <f>AND(#REF!,"AAAAAEfn5Uk=")</f>
        <v>#REF!</v>
      </c>
      <c r="BW52" t="e">
        <f>AND(#REF!,"AAAAAEfn5Uo=")</f>
        <v>#REF!</v>
      </c>
      <c r="BX52" t="e">
        <f>AND(#REF!,"AAAAAEfn5Us=")</f>
        <v>#REF!</v>
      </c>
      <c r="BY52" t="e">
        <f>AND(#REF!,"AAAAAEfn5Uw=")</f>
        <v>#REF!</v>
      </c>
      <c r="BZ52" t="e">
        <f>IF(#REF!,"AAAAAEfn5U0=",0)</f>
        <v>#REF!</v>
      </c>
      <c r="CA52" t="e">
        <f>AND(#REF!,"AAAAAEfn5U4=")</f>
        <v>#REF!</v>
      </c>
      <c r="CB52" t="e">
        <f>AND(#REF!,"AAAAAEfn5U8=")</f>
        <v>#REF!</v>
      </c>
      <c r="CC52" t="e">
        <f>AND(#REF!,"AAAAAEfn5VA=")</f>
        <v>#REF!</v>
      </c>
      <c r="CD52" t="e">
        <f>AND(#REF!,"AAAAAEfn5VE=")</f>
        <v>#REF!</v>
      </c>
      <c r="CE52" t="e">
        <f>AND(#REF!,"AAAAAEfn5VI=")</f>
        <v>#REF!</v>
      </c>
      <c r="CF52" t="e">
        <f>AND(#REF!,"AAAAAEfn5VM=")</f>
        <v>#REF!</v>
      </c>
      <c r="CG52" t="e">
        <f>AND(#REF!,"AAAAAEfn5VQ=")</f>
        <v>#REF!</v>
      </c>
      <c r="CH52" t="e">
        <f>AND(#REF!,"AAAAAEfn5VU=")</f>
        <v>#REF!</v>
      </c>
      <c r="CI52" t="e">
        <f>AND(#REF!,"AAAAAEfn5VY=")</f>
        <v>#REF!</v>
      </c>
      <c r="CJ52" t="e">
        <f>AND(#REF!,"AAAAAEfn5Vc=")</f>
        <v>#REF!</v>
      </c>
      <c r="CK52" t="e">
        <f>AND(#REF!,"AAAAAEfn5Vg=")</f>
        <v>#REF!</v>
      </c>
      <c r="CL52" t="e">
        <f>AND(#REF!,"AAAAAEfn5Vk=")</f>
        <v>#REF!</v>
      </c>
      <c r="CM52" t="e">
        <f>AND(#REF!,"AAAAAEfn5Vo=")</f>
        <v>#REF!</v>
      </c>
      <c r="CN52" t="e">
        <f>AND(#REF!,"AAAAAEfn5Vs=")</f>
        <v>#REF!</v>
      </c>
      <c r="CO52" t="e">
        <f>AND(#REF!,"AAAAAEfn5Vw=")</f>
        <v>#REF!</v>
      </c>
      <c r="CP52" t="e">
        <f>AND(#REF!,"AAAAAEfn5V0=")</f>
        <v>#REF!</v>
      </c>
      <c r="CQ52" t="e">
        <f>AND(#REF!,"AAAAAEfn5V4=")</f>
        <v>#REF!</v>
      </c>
      <c r="CR52" t="e">
        <f>AND(#REF!,"AAAAAEfn5V8=")</f>
        <v>#REF!</v>
      </c>
      <c r="CS52" t="e">
        <f>AND(#REF!,"AAAAAEfn5WA=")</f>
        <v>#REF!</v>
      </c>
      <c r="CT52" t="e">
        <f>AND(#REF!,"AAAAAEfn5WE=")</f>
        <v>#REF!</v>
      </c>
      <c r="CU52" t="e">
        <f>AND(#REF!,"AAAAAEfn5WI=")</f>
        <v>#REF!</v>
      </c>
      <c r="CV52" t="e">
        <f>AND(#REF!,"AAAAAEfn5WM=")</f>
        <v>#REF!</v>
      </c>
      <c r="CW52" t="e">
        <f>AND(#REF!,"AAAAAEfn5WQ=")</f>
        <v>#REF!</v>
      </c>
      <c r="CX52" t="e">
        <f>IF(#REF!,"AAAAAEfn5WU=",0)</f>
        <v>#REF!</v>
      </c>
      <c r="CY52" t="e">
        <f>AND(#REF!,"AAAAAEfn5WY=")</f>
        <v>#REF!</v>
      </c>
      <c r="CZ52" t="e">
        <f>AND(#REF!,"AAAAAEfn5Wc=")</f>
        <v>#REF!</v>
      </c>
      <c r="DA52" t="e">
        <f>AND(#REF!,"AAAAAEfn5Wg=")</f>
        <v>#REF!</v>
      </c>
      <c r="DB52" t="e">
        <f>AND(#REF!,"AAAAAEfn5Wk=")</f>
        <v>#REF!</v>
      </c>
      <c r="DC52" t="e">
        <f>AND(#REF!,"AAAAAEfn5Wo=")</f>
        <v>#REF!</v>
      </c>
      <c r="DD52" t="e">
        <f>AND(#REF!,"AAAAAEfn5Ws=")</f>
        <v>#REF!</v>
      </c>
      <c r="DE52" t="e">
        <f>AND(#REF!,"AAAAAEfn5Ww=")</f>
        <v>#REF!</v>
      </c>
      <c r="DF52" t="e">
        <f>AND(#REF!,"AAAAAEfn5W0=")</f>
        <v>#REF!</v>
      </c>
      <c r="DG52" t="e">
        <f>AND(#REF!,"AAAAAEfn5W4=")</f>
        <v>#REF!</v>
      </c>
      <c r="DH52" t="e">
        <f>AND(#REF!,"AAAAAEfn5W8=")</f>
        <v>#REF!</v>
      </c>
      <c r="DI52" t="e">
        <f>AND(#REF!,"AAAAAEfn5XA=")</f>
        <v>#REF!</v>
      </c>
      <c r="DJ52" t="e">
        <f>AND(#REF!,"AAAAAEfn5XE=")</f>
        <v>#REF!</v>
      </c>
      <c r="DK52" t="e">
        <f>AND(#REF!,"AAAAAEfn5XI=")</f>
        <v>#REF!</v>
      </c>
      <c r="DL52" t="e">
        <f>AND(#REF!,"AAAAAEfn5XM=")</f>
        <v>#REF!</v>
      </c>
      <c r="DM52" t="e">
        <f>AND(#REF!,"AAAAAEfn5XQ=")</f>
        <v>#REF!</v>
      </c>
      <c r="DN52" t="e">
        <f>AND(#REF!,"AAAAAEfn5XU=")</f>
        <v>#REF!</v>
      </c>
      <c r="DO52" t="e">
        <f>AND(#REF!,"AAAAAEfn5XY=")</f>
        <v>#REF!</v>
      </c>
      <c r="DP52" t="e">
        <f>AND(#REF!,"AAAAAEfn5Xc=")</f>
        <v>#REF!</v>
      </c>
      <c r="DQ52" t="e">
        <f>AND(#REF!,"AAAAAEfn5Xg=")</f>
        <v>#REF!</v>
      </c>
      <c r="DR52" t="e">
        <f>AND(#REF!,"AAAAAEfn5Xk=")</f>
        <v>#REF!</v>
      </c>
      <c r="DS52" t="e">
        <f>AND(#REF!,"AAAAAEfn5Xo=")</f>
        <v>#REF!</v>
      </c>
      <c r="DT52" t="e">
        <f>AND(#REF!,"AAAAAEfn5Xs=")</f>
        <v>#REF!</v>
      </c>
      <c r="DU52" t="e">
        <f>AND(#REF!,"AAAAAEfn5Xw=")</f>
        <v>#REF!</v>
      </c>
      <c r="DV52" t="e">
        <f>IF(#REF!,"AAAAAEfn5X0=",0)</f>
        <v>#REF!</v>
      </c>
      <c r="DW52" t="e">
        <f>AND(#REF!,"AAAAAEfn5X4=")</f>
        <v>#REF!</v>
      </c>
      <c r="DX52" t="e">
        <f>AND(#REF!,"AAAAAEfn5X8=")</f>
        <v>#REF!</v>
      </c>
      <c r="DY52" t="e">
        <f>AND(#REF!,"AAAAAEfn5YA=")</f>
        <v>#REF!</v>
      </c>
      <c r="DZ52" t="e">
        <f>AND(#REF!,"AAAAAEfn5YE=")</f>
        <v>#REF!</v>
      </c>
      <c r="EA52" t="e">
        <f>AND(#REF!,"AAAAAEfn5YI=")</f>
        <v>#REF!</v>
      </c>
      <c r="EB52" t="e">
        <f>AND(#REF!,"AAAAAEfn5YM=")</f>
        <v>#REF!</v>
      </c>
      <c r="EC52" t="e">
        <f>AND(#REF!,"AAAAAEfn5YQ=")</f>
        <v>#REF!</v>
      </c>
      <c r="ED52" t="e">
        <f>AND(#REF!,"AAAAAEfn5YU=")</f>
        <v>#REF!</v>
      </c>
      <c r="EE52" t="e">
        <f>AND(#REF!,"AAAAAEfn5YY=")</f>
        <v>#REF!</v>
      </c>
      <c r="EF52" t="e">
        <f>AND(#REF!,"AAAAAEfn5Yc=")</f>
        <v>#REF!</v>
      </c>
      <c r="EG52" t="e">
        <f>AND(#REF!,"AAAAAEfn5Yg=")</f>
        <v>#REF!</v>
      </c>
      <c r="EH52" t="e">
        <f>AND(#REF!,"AAAAAEfn5Yk=")</f>
        <v>#REF!</v>
      </c>
      <c r="EI52" t="e">
        <f>AND(#REF!,"AAAAAEfn5Yo=")</f>
        <v>#REF!</v>
      </c>
      <c r="EJ52" t="e">
        <f>AND(#REF!,"AAAAAEfn5Ys=")</f>
        <v>#REF!</v>
      </c>
      <c r="EK52" t="e">
        <f>AND(#REF!,"AAAAAEfn5Yw=")</f>
        <v>#REF!</v>
      </c>
      <c r="EL52" t="e">
        <f>AND(#REF!,"AAAAAEfn5Y0=")</f>
        <v>#REF!</v>
      </c>
      <c r="EM52" t="e">
        <f>AND(#REF!,"AAAAAEfn5Y4=")</f>
        <v>#REF!</v>
      </c>
      <c r="EN52" t="e">
        <f>AND(#REF!,"AAAAAEfn5Y8=")</f>
        <v>#REF!</v>
      </c>
      <c r="EO52" t="e">
        <f>AND(#REF!,"AAAAAEfn5ZA=")</f>
        <v>#REF!</v>
      </c>
      <c r="EP52" t="e">
        <f>AND(#REF!,"AAAAAEfn5ZE=")</f>
        <v>#REF!</v>
      </c>
      <c r="EQ52" t="e">
        <f>AND(#REF!,"AAAAAEfn5ZI=")</f>
        <v>#REF!</v>
      </c>
      <c r="ER52" t="e">
        <f>AND(#REF!,"AAAAAEfn5ZM=")</f>
        <v>#REF!</v>
      </c>
      <c r="ES52" t="e">
        <f>AND(#REF!,"AAAAAEfn5ZQ=")</f>
        <v>#REF!</v>
      </c>
      <c r="ET52" t="e">
        <f>IF(#REF!,"AAAAAEfn5ZU=",0)</f>
        <v>#REF!</v>
      </c>
      <c r="EU52" t="e">
        <f>AND(#REF!,"AAAAAEfn5ZY=")</f>
        <v>#REF!</v>
      </c>
      <c r="EV52" t="e">
        <f>AND(#REF!,"AAAAAEfn5Zc=")</f>
        <v>#REF!</v>
      </c>
      <c r="EW52" t="e">
        <f>AND(#REF!,"AAAAAEfn5Zg=")</f>
        <v>#REF!</v>
      </c>
      <c r="EX52" t="e">
        <f>AND(#REF!,"AAAAAEfn5Zk=")</f>
        <v>#REF!</v>
      </c>
      <c r="EY52" t="e">
        <f>AND(#REF!,"AAAAAEfn5Zo=")</f>
        <v>#REF!</v>
      </c>
      <c r="EZ52" t="e">
        <f>AND(#REF!,"AAAAAEfn5Zs=")</f>
        <v>#REF!</v>
      </c>
      <c r="FA52" t="e">
        <f>AND(#REF!,"AAAAAEfn5Zw=")</f>
        <v>#REF!</v>
      </c>
      <c r="FB52" t="e">
        <f>AND(#REF!,"AAAAAEfn5Z0=")</f>
        <v>#REF!</v>
      </c>
      <c r="FC52" t="e">
        <f>AND(#REF!,"AAAAAEfn5Z4=")</f>
        <v>#REF!</v>
      </c>
      <c r="FD52" t="e">
        <f>AND(#REF!,"AAAAAEfn5Z8=")</f>
        <v>#REF!</v>
      </c>
      <c r="FE52" t="e">
        <f>AND(#REF!,"AAAAAEfn5aA=")</f>
        <v>#REF!</v>
      </c>
      <c r="FF52" t="e">
        <f>AND(#REF!,"AAAAAEfn5aE=")</f>
        <v>#REF!</v>
      </c>
      <c r="FG52" t="e">
        <f>AND(#REF!,"AAAAAEfn5aI=")</f>
        <v>#REF!</v>
      </c>
      <c r="FH52" t="e">
        <f>AND(#REF!,"AAAAAEfn5aM=")</f>
        <v>#REF!</v>
      </c>
      <c r="FI52" t="e">
        <f>AND(#REF!,"AAAAAEfn5aQ=")</f>
        <v>#REF!</v>
      </c>
      <c r="FJ52" t="e">
        <f>AND(#REF!,"AAAAAEfn5aU=")</f>
        <v>#REF!</v>
      </c>
      <c r="FK52" t="e">
        <f>AND(#REF!,"AAAAAEfn5aY=")</f>
        <v>#REF!</v>
      </c>
      <c r="FL52" t="e">
        <f>AND(#REF!,"AAAAAEfn5ac=")</f>
        <v>#REF!</v>
      </c>
      <c r="FM52" t="e">
        <f>AND(#REF!,"AAAAAEfn5ag=")</f>
        <v>#REF!</v>
      </c>
      <c r="FN52" t="e">
        <f>AND(#REF!,"AAAAAEfn5ak=")</f>
        <v>#REF!</v>
      </c>
      <c r="FO52" t="e">
        <f>AND(#REF!,"AAAAAEfn5ao=")</f>
        <v>#REF!</v>
      </c>
      <c r="FP52" t="e">
        <f>AND(#REF!,"AAAAAEfn5as=")</f>
        <v>#REF!</v>
      </c>
      <c r="FQ52" t="e">
        <f>AND(#REF!,"AAAAAEfn5aw=")</f>
        <v>#REF!</v>
      </c>
      <c r="FR52" t="e">
        <f>IF(#REF!,"AAAAAEfn5a0=",0)</f>
        <v>#REF!</v>
      </c>
      <c r="FS52" t="e">
        <f>AND(#REF!,"AAAAAEfn5a4=")</f>
        <v>#REF!</v>
      </c>
      <c r="FT52" t="e">
        <f>AND(#REF!,"AAAAAEfn5a8=")</f>
        <v>#REF!</v>
      </c>
      <c r="FU52" t="e">
        <f>AND(#REF!,"AAAAAEfn5bA=")</f>
        <v>#REF!</v>
      </c>
      <c r="FV52" t="e">
        <f>AND(#REF!,"AAAAAEfn5bE=")</f>
        <v>#REF!</v>
      </c>
      <c r="FW52" t="e">
        <f>AND(#REF!,"AAAAAEfn5bI=")</f>
        <v>#REF!</v>
      </c>
      <c r="FX52" t="e">
        <f>AND(#REF!,"AAAAAEfn5bM=")</f>
        <v>#REF!</v>
      </c>
      <c r="FY52" t="e">
        <f>AND(#REF!,"AAAAAEfn5bQ=")</f>
        <v>#REF!</v>
      </c>
      <c r="FZ52" t="e">
        <f>AND(#REF!,"AAAAAEfn5bU=")</f>
        <v>#REF!</v>
      </c>
      <c r="GA52" t="e">
        <f>AND(#REF!,"AAAAAEfn5bY=")</f>
        <v>#REF!</v>
      </c>
      <c r="GB52" t="e">
        <f>AND(#REF!,"AAAAAEfn5bc=")</f>
        <v>#REF!</v>
      </c>
      <c r="GC52" t="e">
        <f>AND(#REF!,"AAAAAEfn5bg=")</f>
        <v>#REF!</v>
      </c>
      <c r="GD52" t="e">
        <f>AND(#REF!,"AAAAAEfn5bk=")</f>
        <v>#REF!</v>
      </c>
      <c r="GE52" t="e">
        <f>AND(#REF!,"AAAAAEfn5bo=")</f>
        <v>#REF!</v>
      </c>
      <c r="GF52" t="e">
        <f>AND(#REF!,"AAAAAEfn5bs=")</f>
        <v>#REF!</v>
      </c>
      <c r="GG52" t="e">
        <f>AND(#REF!,"AAAAAEfn5bw=")</f>
        <v>#REF!</v>
      </c>
      <c r="GH52" t="e">
        <f>AND(#REF!,"AAAAAEfn5b0=")</f>
        <v>#REF!</v>
      </c>
      <c r="GI52" t="e">
        <f>AND(#REF!,"AAAAAEfn5b4=")</f>
        <v>#REF!</v>
      </c>
      <c r="GJ52" t="e">
        <f>AND(#REF!,"AAAAAEfn5b8=")</f>
        <v>#REF!</v>
      </c>
      <c r="GK52" t="e">
        <f>AND(#REF!,"AAAAAEfn5cA=")</f>
        <v>#REF!</v>
      </c>
      <c r="GL52" t="e">
        <f>AND(#REF!,"AAAAAEfn5cE=")</f>
        <v>#REF!</v>
      </c>
      <c r="GM52" t="e">
        <f>AND(#REF!,"AAAAAEfn5cI=")</f>
        <v>#REF!</v>
      </c>
      <c r="GN52" t="e">
        <f>AND(#REF!,"AAAAAEfn5cM=")</f>
        <v>#REF!</v>
      </c>
      <c r="GO52" t="e">
        <f>AND(#REF!,"AAAAAEfn5cQ=")</f>
        <v>#REF!</v>
      </c>
      <c r="GP52" t="e">
        <f>IF(#REF!,"AAAAAEfn5cU=",0)</f>
        <v>#REF!</v>
      </c>
      <c r="GQ52" t="e">
        <f>AND(#REF!,"AAAAAEfn5cY=")</f>
        <v>#REF!</v>
      </c>
      <c r="GR52" t="e">
        <f>AND(#REF!,"AAAAAEfn5cc=")</f>
        <v>#REF!</v>
      </c>
      <c r="GS52" t="e">
        <f>AND(#REF!,"AAAAAEfn5cg=")</f>
        <v>#REF!</v>
      </c>
      <c r="GT52" t="e">
        <f>AND(#REF!,"AAAAAEfn5ck=")</f>
        <v>#REF!</v>
      </c>
      <c r="GU52" t="e">
        <f>AND(#REF!,"AAAAAEfn5co=")</f>
        <v>#REF!</v>
      </c>
      <c r="GV52" t="e">
        <f>AND(#REF!,"AAAAAEfn5cs=")</f>
        <v>#REF!</v>
      </c>
      <c r="GW52" t="e">
        <f>AND(#REF!,"AAAAAEfn5cw=")</f>
        <v>#REF!</v>
      </c>
      <c r="GX52" t="e">
        <f>AND(#REF!,"AAAAAEfn5c0=")</f>
        <v>#REF!</v>
      </c>
      <c r="GY52" t="e">
        <f>AND(#REF!,"AAAAAEfn5c4=")</f>
        <v>#REF!</v>
      </c>
      <c r="GZ52" t="e">
        <f>AND(#REF!,"AAAAAEfn5c8=")</f>
        <v>#REF!</v>
      </c>
      <c r="HA52" t="e">
        <f>AND(#REF!,"AAAAAEfn5dA=")</f>
        <v>#REF!</v>
      </c>
      <c r="HB52" t="e">
        <f>AND(#REF!,"AAAAAEfn5dE=")</f>
        <v>#REF!</v>
      </c>
      <c r="HC52" t="e">
        <f>AND(#REF!,"AAAAAEfn5dI=")</f>
        <v>#REF!</v>
      </c>
      <c r="HD52" t="e">
        <f>AND(#REF!,"AAAAAEfn5dM=")</f>
        <v>#REF!</v>
      </c>
      <c r="HE52" t="e">
        <f>AND(#REF!,"AAAAAEfn5dQ=")</f>
        <v>#REF!</v>
      </c>
      <c r="HF52" t="e">
        <f>AND(#REF!,"AAAAAEfn5dU=")</f>
        <v>#REF!</v>
      </c>
      <c r="HG52" t="e">
        <f>AND(#REF!,"AAAAAEfn5dY=")</f>
        <v>#REF!</v>
      </c>
      <c r="HH52" t="e">
        <f>AND(#REF!,"AAAAAEfn5dc=")</f>
        <v>#REF!</v>
      </c>
      <c r="HI52" t="e">
        <f>AND(#REF!,"AAAAAEfn5dg=")</f>
        <v>#REF!</v>
      </c>
      <c r="HJ52" t="e">
        <f>AND(#REF!,"AAAAAEfn5dk=")</f>
        <v>#REF!</v>
      </c>
      <c r="HK52" t="e">
        <f>AND(#REF!,"AAAAAEfn5do=")</f>
        <v>#REF!</v>
      </c>
      <c r="HL52" t="e">
        <f>AND(#REF!,"AAAAAEfn5ds=")</f>
        <v>#REF!</v>
      </c>
      <c r="HM52" t="e">
        <f>AND(#REF!,"AAAAAEfn5dw=")</f>
        <v>#REF!</v>
      </c>
      <c r="HN52" t="e">
        <f>IF(#REF!,"AAAAAEfn5d0=",0)</f>
        <v>#REF!</v>
      </c>
      <c r="HO52" t="e">
        <f>AND(#REF!,"AAAAAEfn5d4=")</f>
        <v>#REF!</v>
      </c>
      <c r="HP52" t="e">
        <f>AND(#REF!,"AAAAAEfn5d8=")</f>
        <v>#REF!</v>
      </c>
      <c r="HQ52" t="e">
        <f>AND(#REF!,"AAAAAEfn5eA=")</f>
        <v>#REF!</v>
      </c>
      <c r="HR52" t="e">
        <f>AND(#REF!,"AAAAAEfn5eE=")</f>
        <v>#REF!</v>
      </c>
      <c r="HS52" t="e">
        <f>AND(#REF!,"AAAAAEfn5eI=")</f>
        <v>#REF!</v>
      </c>
      <c r="HT52" t="e">
        <f>AND(#REF!,"AAAAAEfn5eM=")</f>
        <v>#REF!</v>
      </c>
      <c r="HU52" t="e">
        <f>AND(#REF!,"AAAAAEfn5eQ=")</f>
        <v>#REF!</v>
      </c>
      <c r="HV52" t="e">
        <f>AND(#REF!,"AAAAAEfn5eU=")</f>
        <v>#REF!</v>
      </c>
      <c r="HW52" t="e">
        <f>AND(#REF!,"AAAAAEfn5eY=")</f>
        <v>#REF!</v>
      </c>
      <c r="HX52" t="e">
        <f>AND(#REF!,"AAAAAEfn5ec=")</f>
        <v>#REF!</v>
      </c>
      <c r="HY52" t="e">
        <f>AND(#REF!,"AAAAAEfn5eg=")</f>
        <v>#REF!</v>
      </c>
      <c r="HZ52" t="e">
        <f>AND(#REF!,"AAAAAEfn5ek=")</f>
        <v>#REF!</v>
      </c>
      <c r="IA52" t="e">
        <f>AND(#REF!,"AAAAAEfn5eo=")</f>
        <v>#REF!</v>
      </c>
      <c r="IB52" t="e">
        <f>AND(#REF!,"AAAAAEfn5es=")</f>
        <v>#REF!</v>
      </c>
      <c r="IC52" t="e">
        <f>AND(#REF!,"AAAAAEfn5ew=")</f>
        <v>#REF!</v>
      </c>
      <c r="ID52" t="e">
        <f>AND(#REF!,"AAAAAEfn5e0=")</f>
        <v>#REF!</v>
      </c>
      <c r="IE52" t="e">
        <f>AND(#REF!,"AAAAAEfn5e4=")</f>
        <v>#REF!</v>
      </c>
      <c r="IF52" t="e">
        <f>AND(#REF!,"AAAAAEfn5e8=")</f>
        <v>#REF!</v>
      </c>
      <c r="IG52" t="e">
        <f>AND(#REF!,"AAAAAEfn5fA=")</f>
        <v>#REF!</v>
      </c>
      <c r="IH52" t="e">
        <f>AND(#REF!,"AAAAAEfn5fE=")</f>
        <v>#REF!</v>
      </c>
      <c r="II52" t="e">
        <f>AND(#REF!,"AAAAAEfn5fI=")</f>
        <v>#REF!</v>
      </c>
      <c r="IJ52" t="e">
        <f>AND(#REF!,"AAAAAEfn5fM=")</f>
        <v>#REF!</v>
      </c>
      <c r="IK52" t="e">
        <f>AND(#REF!,"AAAAAEfn5fQ=")</f>
        <v>#REF!</v>
      </c>
      <c r="IL52" t="e">
        <f>IF(#REF!,"AAAAAEfn5fU=",0)</f>
        <v>#REF!</v>
      </c>
      <c r="IM52" t="e">
        <f>AND(#REF!,"AAAAAEfn5fY=")</f>
        <v>#REF!</v>
      </c>
      <c r="IN52" t="e">
        <f>AND(#REF!,"AAAAAEfn5fc=")</f>
        <v>#REF!</v>
      </c>
      <c r="IO52" t="e">
        <f>AND(#REF!,"AAAAAEfn5fg=")</f>
        <v>#REF!</v>
      </c>
      <c r="IP52" t="e">
        <f>AND(#REF!,"AAAAAEfn5fk=")</f>
        <v>#REF!</v>
      </c>
      <c r="IQ52" t="e">
        <f>AND(#REF!,"AAAAAEfn5fo=")</f>
        <v>#REF!</v>
      </c>
      <c r="IR52" t="e">
        <f>AND(#REF!,"AAAAAEfn5fs=")</f>
        <v>#REF!</v>
      </c>
      <c r="IS52" t="e">
        <f>AND(#REF!,"AAAAAEfn5fw=")</f>
        <v>#REF!</v>
      </c>
      <c r="IT52" t="e">
        <f>AND(#REF!,"AAAAAEfn5f0=")</f>
        <v>#REF!</v>
      </c>
      <c r="IU52" t="e">
        <f>AND(#REF!,"AAAAAEfn5f4=")</f>
        <v>#REF!</v>
      </c>
      <c r="IV52" t="e">
        <f>AND(#REF!,"AAAAAEfn5f8=")</f>
        <v>#REF!</v>
      </c>
    </row>
    <row r="53" spans="1:256" x14ac:dyDescent="0.15">
      <c r="A53" t="e">
        <f>AND(#REF!,"AAAAAHzrdwA=")</f>
        <v>#REF!</v>
      </c>
      <c r="B53" t="e">
        <f>AND(#REF!,"AAAAAHzrdwE=")</f>
        <v>#REF!</v>
      </c>
      <c r="C53" t="e">
        <f>AND(#REF!,"AAAAAHzrdwI=")</f>
        <v>#REF!</v>
      </c>
      <c r="D53" t="e">
        <f>AND(#REF!,"AAAAAHzrdwM=")</f>
        <v>#REF!</v>
      </c>
      <c r="E53" t="e">
        <f>AND(#REF!,"AAAAAHzrdwQ=")</f>
        <v>#REF!</v>
      </c>
      <c r="F53" t="e">
        <f>AND(#REF!,"AAAAAHzrdwU=")</f>
        <v>#REF!</v>
      </c>
      <c r="G53" t="e">
        <f>AND(#REF!,"AAAAAHzrdwY=")</f>
        <v>#REF!</v>
      </c>
      <c r="H53" t="e">
        <f>AND(#REF!,"AAAAAHzrdwc=")</f>
        <v>#REF!</v>
      </c>
      <c r="I53" t="e">
        <f>AND(#REF!,"AAAAAHzrdwg=")</f>
        <v>#REF!</v>
      </c>
      <c r="J53" t="e">
        <f>AND(#REF!,"AAAAAHzrdwk=")</f>
        <v>#REF!</v>
      </c>
      <c r="K53" t="e">
        <f>AND(#REF!,"AAAAAHzrdwo=")</f>
        <v>#REF!</v>
      </c>
      <c r="L53" t="e">
        <f>AND(#REF!,"AAAAAHzrdws=")</f>
        <v>#REF!</v>
      </c>
      <c r="M53" t="e">
        <f>AND(#REF!,"AAAAAHzrdww=")</f>
        <v>#REF!</v>
      </c>
      <c r="N53" t="e">
        <f>IF(#REF!,"AAAAAHzrdw0=",0)</f>
        <v>#REF!</v>
      </c>
      <c r="O53" t="e">
        <f>AND(#REF!,"AAAAAHzrdw4=")</f>
        <v>#REF!</v>
      </c>
      <c r="P53" t="e">
        <f>AND(#REF!,"AAAAAHzrdw8=")</f>
        <v>#REF!</v>
      </c>
      <c r="Q53" t="e">
        <f>AND(#REF!,"AAAAAHzrdxA=")</f>
        <v>#REF!</v>
      </c>
      <c r="R53" t="e">
        <f>AND(#REF!,"AAAAAHzrdxE=")</f>
        <v>#REF!</v>
      </c>
      <c r="S53" t="e">
        <f>AND(#REF!,"AAAAAHzrdxI=")</f>
        <v>#REF!</v>
      </c>
      <c r="T53" t="e">
        <f>AND(#REF!,"AAAAAHzrdxM=")</f>
        <v>#REF!</v>
      </c>
      <c r="U53" t="e">
        <f>AND(#REF!,"AAAAAHzrdxQ=")</f>
        <v>#REF!</v>
      </c>
      <c r="V53" t="e">
        <f>AND(#REF!,"AAAAAHzrdxU=")</f>
        <v>#REF!</v>
      </c>
      <c r="W53" t="e">
        <f>AND(#REF!,"AAAAAHzrdxY=")</f>
        <v>#REF!</v>
      </c>
      <c r="X53" t="e">
        <f>AND(#REF!,"AAAAAHzrdxc=")</f>
        <v>#REF!</v>
      </c>
      <c r="Y53" t="e">
        <f>AND(#REF!,"AAAAAHzrdxg=")</f>
        <v>#REF!</v>
      </c>
      <c r="Z53" t="e">
        <f>AND(#REF!,"AAAAAHzrdxk=")</f>
        <v>#REF!</v>
      </c>
      <c r="AA53" t="e">
        <f>AND(#REF!,"AAAAAHzrdxo=")</f>
        <v>#REF!</v>
      </c>
      <c r="AB53" t="e">
        <f>AND(#REF!,"AAAAAHzrdxs=")</f>
        <v>#REF!</v>
      </c>
      <c r="AC53" t="e">
        <f>AND(#REF!,"AAAAAHzrdxw=")</f>
        <v>#REF!</v>
      </c>
      <c r="AD53" t="e">
        <f>AND(#REF!,"AAAAAHzrdx0=")</f>
        <v>#REF!</v>
      </c>
      <c r="AE53" t="e">
        <f>AND(#REF!,"AAAAAHzrdx4=")</f>
        <v>#REF!</v>
      </c>
      <c r="AF53" t="e">
        <f>AND(#REF!,"AAAAAHzrdx8=")</f>
        <v>#REF!</v>
      </c>
      <c r="AG53" t="e">
        <f>AND(#REF!,"AAAAAHzrdyA=")</f>
        <v>#REF!</v>
      </c>
      <c r="AH53" t="e">
        <f>AND(#REF!,"AAAAAHzrdyE=")</f>
        <v>#REF!</v>
      </c>
      <c r="AI53" t="e">
        <f>AND(#REF!,"AAAAAHzrdyI=")</f>
        <v>#REF!</v>
      </c>
      <c r="AJ53" t="e">
        <f>AND(#REF!,"AAAAAHzrdyM=")</f>
        <v>#REF!</v>
      </c>
      <c r="AK53" t="e">
        <f>AND(#REF!,"AAAAAHzrdyQ=")</f>
        <v>#REF!</v>
      </c>
      <c r="AL53" t="e">
        <f>IF(#REF!,"AAAAAHzrdyU=",0)</f>
        <v>#REF!</v>
      </c>
      <c r="AM53" t="e">
        <f>AND(#REF!,"AAAAAHzrdyY=")</f>
        <v>#REF!</v>
      </c>
      <c r="AN53" t="e">
        <f>AND(#REF!,"AAAAAHzrdyc=")</f>
        <v>#REF!</v>
      </c>
      <c r="AO53" t="e">
        <f>AND(#REF!,"AAAAAHzrdyg=")</f>
        <v>#REF!</v>
      </c>
      <c r="AP53" t="e">
        <f>AND(#REF!,"AAAAAHzrdyk=")</f>
        <v>#REF!</v>
      </c>
      <c r="AQ53" t="e">
        <f>AND(#REF!,"AAAAAHzrdyo=")</f>
        <v>#REF!</v>
      </c>
      <c r="AR53" t="e">
        <f>AND(#REF!,"AAAAAHzrdys=")</f>
        <v>#REF!</v>
      </c>
      <c r="AS53" t="e">
        <f>AND(#REF!,"AAAAAHzrdyw=")</f>
        <v>#REF!</v>
      </c>
      <c r="AT53" t="e">
        <f>AND(#REF!,"AAAAAHzrdy0=")</f>
        <v>#REF!</v>
      </c>
      <c r="AU53" t="e">
        <f>AND(#REF!,"AAAAAHzrdy4=")</f>
        <v>#REF!</v>
      </c>
      <c r="AV53" t="e">
        <f>AND(#REF!,"AAAAAHzrdy8=")</f>
        <v>#REF!</v>
      </c>
      <c r="AW53" t="e">
        <f>AND(#REF!,"AAAAAHzrdzA=")</f>
        <v>#REF!</v>
      </c>
      <c r="AX53" t="e">
        <f>AND(#REF!,"AAAAAHzrdzE=")</f>
        <v>#REF!</v>
      </c>
      <c r="AY53" t="e">
        <f>AND(#REF!,"AAAAAHzrdzI=")</f>
        <v>#REF!</v>
      </c>
      <c r="AZ53" t="e">
        <f>AND(#REF!,"AAAAAHzrdzM=")</f>
        <v>#REF!</v>
      </c>
      <c r="BA53" t="e">
        <f>AND(#REF!,"AAAAAHzrdzQ=")</f>
        <v>#REF!</v>
      </c>
      <c r="BB53" t="e">
        <f>AND(#REF!,"AAAAAHzrdzU=")</f>
        <v>#REF!</v>
      </c>
      <c r="BC53" t="e">
        <f>AND(#REF!,"AAAAAHzrdzY=")</f>
        <v>#REF!</v>
      </c>
      <c r="BD53" t="e">
        <f>AND(#REF!,"AAAAAHzrdzc=")</f>
        <v>#REF!</v>
      </c>
      <c r="BE53" t="e">
        <f>AND(#REF!,"AAAAAHzrdzg=")</f>
        <v>#REF!</v>
      </c>
      <c r="BF53" t="e">
        <f>AND(#REF!,"AAAAAHzrdzk=")</f>
        <v>#REF!</v>
      </c>
      <c r="BG53" t="e">
        <f>AND(#REF!,"AAAAAHzrdzo=")</f>
        <v>#REF!</v>
      </c>
      <c r="BH53" t="e">
        <f>AND(#REF!,"AAAAAHzrdzs=")</f>
        <v>#REF!</v>
      </c>
      <c r="BI53" t="e">
        <f>AND(#REF!,"AAAAAHzrdzw=")</f>
        <v>#REF!</v>
      </c>
      <c r="BJ53" t="e">
        <f>IF(#REF!,"AAAAAHzrdz0=",0)</f>
        <v>#REF!</v>
      </c>
      <c r="BK53" t="e">
        <f>AND(#REF!,"AAAAAHzrdz4=")</f>
        <v>#REF!</v>
      </c>
      <c r="BL53" t="e">
        <f>AND(#REF!,"AAAAAHzrdz8=")</f>
        <v>#REF!</v>
      </c>
      <c r="BM53" t="e">
        <f>AND(#REF!,"AAAAAHzrd0A=")</f>
        <v>#REF!</v>
      </c>
      <c r="BN53" t="e">
        <f>AND(#REF!,"AAAAAHzrd0E=")</f>
        <v>#REF!</v>
      </c>
      <c r="BO53" t="e">
        <f>AND(#REF!,"AAAAAHzrd0I=")</f>
        <v>#REF!</v>
      </c>
      <c r="BP53" t="e">
        <f>AND(#REF!,"AAAAAHzrd0M=")</f>
        <v>#REF!</v>
      </c>
      <c r="BQ53" t="e">
        <f>AND(#REF!,"AAAAAHzrd0Q=")</f>
        <v>#REF!</v>
      </c>
      <c r="BR53" t="e">
        <f>AND(#REF!,"AAAAAHzrd0U=")</f>
        <v>#REF!</v>
      </c>
      <c r="BS53" t="e">
        <f>AND(#REF!,"AAAAAHzrd0Y=")</f>
        <v>#REF!</v>
      </c>
      <c r="BT53" t="e">
        <f>AND(#REF!,"AAAAAHzrd0c=")</f>
        <v>#REF!</v>
      </c>
      <c r="BU53" t="e">
        <f>AND(#REF!,"AAAAAHzrd0g=")</f>
        <v>#REF!</v>
      </c>
      <c r="BV53" t="e">
        <f>AND(#REF!,"AAAAAHzrd0k=")</f>
        <v>#REF!</v>
      </c>
      <c r="BW53" t="e">
        <f>AND(#REF!,"AAAAAHzrd0o=")</f>
        <v>#REF!</v>
      </c>
      <c r="BX53" t="e">
        <f>AND(#REF!,"AAAAAHzrd0s=")</f>
        <v>#REF!</v>
      </c>
      <c r="BY53" t="e">
        <f>AND(#REF!,"AAAAAHzrd0w=")</f>
        <v>#REF!</v>
      </c>
      <c r="BZ53" t="e">
        <f>AND(#REF!,"AAAAAHzrd00=")</f>
        <v>#REF!</v>
      </c>
      <c r="CA53" t="e">
        <f>AND(#REF!,"AAAAAHzrd04=")</f>
        <v>#REF!</v>
      </c>
      <c r="CB53" t="e">
        <f>AND(#REF!,"AAAAAHzrd08=")</f>
        <v>#REF!</v>
      </c>
      <c r="CC53" t="e">
        <f>AND(#REF!,"AAAAAHzrd1A=")</f>
        <v>#REF!</v>
      </c>
      <c r="CD53" t="e">
        <f>AND(#REF!,"AAAAAHzrd1E=")</f>
        <v>#REF!</v>
      </c>
      <c r="CE53" t="e">
        <f>AND(#REF!,"AAAAAHzrd1I=")</f>
        <v>#REF!</v>
      </c>
      <c r="CF53" t="e">
        <f>AND(#REF!,"AAAAAHzrd1M=")</f>
        <v>#REF!</v>
      </c>
      <c r="CG53" t="e">
        <f>AND(#REF!,"AAAAAHzrd1Q=")</f>
        <v>#REF!</v>
      </c>
      <c r="CH53" t="e">
        <f>IF(#REF!,"AAAAAHzrd1U=",0)</f>
        <v>#REF!</v>
      </c>
      <c r="CI53" t="e">
        <f>AND(#REF!,"AAAAAHzrd1Y=")</f>
        <v>#REF!</v>
      </c>
      <c r="CJ53" t="e">
        <f>AND(#REF!,"AAAAAHzrd1c=")</f>
        <v>#REF!</v>
      </c>
      <c r="CK53" t="e">
        <f>AND(#REF!,"AAAAAHzrd1g=")</f>
        <v>#REF!</v>
      </c>
      <c r="CL53" t="e">
        <f>AND(#REF!,"AAAAAHzrd1k=")</f>
        <v>#REF!</v>
      </c>
      <c r="CM53" t="e">
        <f>AND(#REF!,"AAAAAHzrd1o=")</f>
        <v>#REF!</v>
      </c>
      <c r="CN53" t="e">
        <f>AND(#REF!,"AAAAAHzrd1s=")</f>
        <v>#REF!</v>
      </c>
      <c r="CO53" t="e">
        <f>AND(#REF!,"AAAAAHzrd1w=")</f>
        <v>#REF!</v>
      </c>
      <c r="CP53" t="e">
        <f>AND(#REF!,"AAAAAHzrd10=")</f>
        <v>#REF!</v>
      </c>
      <c r="CQ53" t="e">
        <f>AND(#REF!,"AAAAAHzrd14=")</f>
        <v>#REF!</v>
      </c>
      <c r="CR53" t="e">
        <f>AND(#REF!,"AAAAAHzrd18=")</f>
        <v>#REF!</v>
      </c>
      <c r="CS53" t="e">
        <f>AND(#REF!,"AAAAAHzrd2A=")</f>
        <v>#REF!</v>
      </c>
      <c r="CT53" t="e">
        <f>AND(#REF!,"AAAAAHzrd2E=")</f>
        <v>#REF!</v>
      </c>
      <c r="CU53" t="e">
        <f>AND(#REF!,"AAAAAHzrd2I=")</f>
        <v>#REF!</v>
      </c>
      <c r="CV53" t="e">
        <f>AND(#REF!,"AAAAAHzrd2M=")</f>
        <v>#REF!</v>
      </c>
      <c r="CW53" t="e">
        <f>AND(#REF!,"AAAAAHzrd2Q=")</f>
        <v>#REF!</v>
      </c>
      <c r="CX53" t="e">
        <f>AND(#REF!,"AAAAAHzrd2U=")</f>
        <v>#REF!</v>
      </c>
      <c r="CY53" t="e">
        <f>AND(#REF!,"AAAAAHzrd2Y=")</f>
        <v>#REF!</v>
      </c>
      <c r="CZ53" t="e">
        <f>AND(#REF!,"AAAAAHzrd2c=")</f>
        <v>#REF!</v>
      </c>
      <c r="DA53" t="e">
        <f>AND(#REF!,"AAAAAHzrd2g=")</f>
        <v>#REF!</v>
      </c>
      <c r="DB53" t="e">
        <f>AND(#REF!,"AAAAAHzrd2k=")</f>
        <v>#REF!</v>
      </c>
      <c r="DC53" t="e">
        <f>AND(#REF!,"AAAAAHzrd2o=")</f>
        <v>#REF!</v>
      </c>
      <c r="DD53" t="e">
        <f>AND(#REF!,"AAAAAHzrd2s=")</f>
        <v>#REF!</v>
      </c>
      <c r="DE53" t="e">
        <f>AND(#REF!,"AAAAAHzrd2w=")</f>
        <v>#REF!</v>
      </c>
      <c r="DF53" t="e">
        <f>IF(#REF!,"AAAAAHzrd20=",0)</f>
        <v>#REF!</v>
      </c>
      <c r="DG53" t="e">
        <f>AND(#REF!,"AAAAAHzrd24=")</f>
        <v>#REF!</v>
      </c>
      <c r="DH53" t="e">
        <f>AND(#REF!,"AAAAAHzrd28=")</f>
        <v>#REF!</v>
      </c>
      <c r="DI53" t="e">
        <f>AND(#REF!,"AAAAAHzrd3A=")</f>
        <v>#REF!</v>
      </c>
      <c r="DJ53" t="e">
        <f>AND(#REF!,"AAAAAHzrd3E=")</f>
        <v>#REF!</v>
      </c>
      <c r="DK53" t="e">
        <f>AND(#REF!,"AAAAAHzrd3I=")</f>
        <v>#REF!</v>
      </c>
      <c r="DL53" t="e">
        <f>AND(#REF!,"AAAAAHzrd3M=")</f>
        <v>#REF!</v>
      </c>
      <c r="DM53" t="e">
        <f>AND(#REF!,"AAAAAHzrd3Q=")</f>
        <v>#REF!</v>
      </c>
      <c r="DN53" t="e">
        <f>AND(#REF!,"AAAAAHzrd3U=")</f>
        <v>#REF!</v>
      </c>
      <c r="DO53" t="e">
        <f>AND(#REF!,"AAAAAHzrd3Y=")</f>
        <v>#REF!</v>
      </c>
      <c r="DP53" t="e">
        <f>AND(#REF!,"AAAAAHzrd3c=")</f>
        <v>#REF!</v>
      </c>
      <c r="DQ53" t="e">
        <f>AND(#REF!,"AAAAAHzrd3g=")</f>
        <v>#REF!</v>
      </c>
      <c r="DR53" t="e">
        <f>AND(#REF!,"AAAAAHzrd3k=")</f>
        <v>#REF!</v>
      </c>
      <c r="DS53" t="e">
        <f>AND(#REF!,"AAAAAHzrd3o=")</f>
        <v>#REF!</v>
      </c>
      <c r="DT53" t="e">
        <f>AND(#REF!,"AAAAAHzrd3s=")</f>
        <v>#REF!</v>
      </c>
      <c r="DU53" t="e">
        <f>AND(#REF!,"AAAAAHzrd3w=")</f>
        <v>#REF!</v>
      </c>
      <c r="DV53" t="e">
        <f>AND(#REF!,"AAAAAHzrd30=")</f>
        <v>#REF!</v>
      </c>
      <c r="DW53" t="e">
        <f>AND(#REF!,"AAAAAHzrd34=")</f>
        <v>#REF!</v>
      </c>
      <c r="DX53" t="e">
        <f>AND(#REF!,"AAAAAHzrd38=")</f>
        <v>#REF!</v>
      </c>
      <c r="DY53" t="e">
        <f>AND(#REF!,"AAAAAHzrd4A=")</f>
        <v>#REF!</v>
      </c>
      <c r="DZ53" t="e">
        <f>AND(#REF!,"AAAAAHzrd4E=")</f>
        <v>#REF!</v>
      </c>
      <c r="EA53" t="e">
        <f>AND(#REF!,"AAAAAHzrd4I=")</f>
        <v>#REF!</v>
      </c>
      <c r="EB53" t="e">
        <f>AND(#REF!,"AAAAAHzrd4M=")</f>
        <v>#REF!</v>
      </c>
      <c r="EC53" t="e">
        <f>AND(#REF!,"AAAAAHzrd4Q=")</f>
        <v>#REF!</v>
      </c>
      <c r="ED53" t="e">
        <f>IF(#REF!,"AAAAAHzrd4U=",0)</f>
        <v>#REF!</v>
      </c>
      <c r="EE53" t="e">
        <f>AND(#REF!,"AAAAAHzrd4Y=")</f>
        <v>#REF!</v>
      </c>
      <c r="EF53" t="e">
        <f>AND(#REF!,"AAAAAHzrd4c=")</f>
        <v>#REF!</v>
      </c>
      <c r="EG53" t="e">
        <f>AND(#REF!,"AAAAAHzrd4g=")</f>
        <v>#REF!</v>
      </c>
      <c r="EH53" t="e">
        <f>AND(#REF!,"AAAAAHzrd4k=")</f>
        <v>#REF!</v>
      </c>
      <c r="EI53" t="e">
        <f>AND(#REF!,"AAAAAHzrd4o=")</f>
        <v>#REF!</v>
      </c>
      <c r="EJ53" t="e">
        <f>AND(#REF!,"AAAAAHzrd4s=")</f>
        <v>#REF!</v>
      </c>
      <c r="EK53" t="e">
        <f>AND(#REF!,"AAAAAHzrd4w=")</f>
        <v>#REF!</v>
      </c>
      <c r="EL53" t="e">
        <f>AND(#REF!,"AAAAAHzrd40=")</f>
        <v>#REF!</v>
      </c>
      <c r="EM53" t="e">
        <f>AND(#REF!,"AAAAAHzrd44=")</f>
        <v>#REF!</v>
      </c>
      <c r="EN53" t="e">
        <f>AND(#REF!,"AAAAAHzrd48=")</f>
        <v>#REF!</v>
      </c>
      <c r="EO53" t="e">
        <f>AND(#REF!,"AAAAAHzrd5A=")</f>
        <v>#REF!</v>
      </c>
      <c r="EP53" t="e">
        <f>AND(#REF!,"AAAAAHzrd5E=")</f>
        <v>#REF!</v>
      </c>
      <c r="EQ53" t="e">
        <f>AND(#REF!,"AAAAAHzrd5I=")</f>
        <v>#REF!</v>
      </c>
      <c r="ER53" t="e">
        <f>AND(#REF!,"AAAAAHzrd5M=")</f>
        <v>#REF!</v>
      </c>
      <c r="ES53" t="e">
        <f>AND(#REF!,"AAAAAHzrd5Q=")</f>
        <v>#REF!</v>
      </c>
      <c r="ET53" t="e">
        <f>AND(#REF!,"AAAAAHzrd5U=")</f>
        <v>#REF!</v>
      </c>
      <c r="EU53" t="e">
        <f>AND(#REF!,"AAAAAHzrd5Y=")</f>
        <v>#REF!</v>
      </c>
      <c r="EV53" t="e">
        <f>AND(#REF!,"AAAAAHzrd5c=")</f>
        <v>#REF!</v>
      </c>
      <c r="EW53" t="e">
        <f>AND(#REF!,"AAAAAHzrd5g=")</f>
        <v>#REF!</v>
      </c>
      <c r="EX53" t="e">
        <f>AND(#REF!,"AAAAAHzrd5k=")</f>
        <v>#REF!</v>
      </c>
      <c r="EY53" t="e">
        <f>AND(#REF!,"AAAAAHzrd5o=")</f>
        <v>#REF!</v>
      </c>
      <c r="EZ53" t="e">
        <f>AND(#REF!,"AAAAAHzrd5s=")</f>
        <v>#REF!</v>
      </c>
      <c r="FA53" t="e">
        <f>AND(#REF!,"AAAAAHzrd5w=")</f>
        <v>#REF!</v>
      </c>
      <c r="FB53" t="e">
        <f>IF(#REF!,"AAAAAHzrd50=",0)</f>
        <v>#REF!</v>
      </c>
      <c r="FC53" t="e">
        <f>AND(#REF!,"AAAAAHzrd54=")</f>
        <v>#REF!</v>
      </c>
      <c r="FD53" t="e">
        <f>AND(#REF!,"AAAAAHzrd58=")</f>
        <v>#REF!</v>
      </c>
      <c r="FE53" t="e">
        <f>AND(#REF!,"AAAAAHzrd6A=")</f>
        <v>#REF!</v>
      </c>
      <c r="FF53" t="e">
        <f>AND(#REF!,"AAAAAHzrd6E=")</f>
        <v>#REF!</v>
      </c>
      <c r="FG53" t="e">
        <f>AND(#REF!,"AAAAAHzrd6I=")</f>
        <v>#REF!</v>
      </c>
      <c r="FH53" t="e">
        <f>AND(#REF!,"AAAAAHzrd6M=")</f>
        <v>#REF!</v>
      </c>
      <c r="FI53" t="e">
        <f>AND(#REF!,"AAAAAHzrd6Q=")</f>
        <v>#REF!</v>
      </c>
      <c r="FJ53" t="e">
        <f>AND(#REF!,"AAAAAHzrd6U=")</f>
        <v>#REF!</v>
      </c>
      <c r="FK53" t="e">
        <f>AND(#REF!,"AAAAAHzrd6Y=")</f>
        <v>#REF!</v>
      </c>
      <c r="FL53" t="e">
        <f>AND(#REF!,"AAAAAHzrd6c=")</f>
        <v>#REF!</v>
      </c>
      <c r="FM53" t="e">
        <f>AND(#REF!,"AAAAAHzrd6g=")</f>
        <v>#REF!</v>
      </c>
      <c r="FN53" t="e">
        <f>AND(#REF!,"AAAAAHzrd6k=")</f>
        <v>#REF!</v>
      </c>
      <c r="FO53" t="e">
        <f>AND(#REF!,"AAAAAHzrd6o=")</f>
        <v>#REF!</v>
      </c>
      <c r="FP53" t="e">
        <f>AND(#REF!,"AAAAAHzrd6s=")</f>
        <v>#REF!</v>
      </c>
      <c r="FQ53" t="e">
        <f>AND(#REF!,"AAAAAHzrd6w=")</f>
        <v>#REF!</v>
      </c>
      <c r="FR53" t="e">
        <f>AND(#REF!,"AAAAAHzrd60=")</f>
        <v>#REF!</v>
      </c>
      <c r="FS53" t="e">
        <f>AND(#REF!,"AAAAAHzrd64=")</f>
        <v>#REF!</v>
      </c>
      <c r="FT53" t="e">
        <f>AND(#REF!,"AAAAAHzrd68=")</f>
        <v>#REF!</v>
      </c>
      <c r="FU53" t="e">
        <f>AND(#REF!,"AAAAAHzrd7A=")</f>
        <v>#REF!</v>
      </c>
      <c r="FV53" t="e">
        <f>AND(#REF!,"AAAAAHzrd7E=")</f>
        <v>#REF!</v>
      </c>
      <c r="FW53" t="e">
        <f>AND(#REF!,"AAAAAHzrd7I=")</f>
        <v>#REF!</v>
      </c>
      <c r="FX53" t="e">
        <f>AND(#REF!,"AAAAAHzrd7M=")</f>
        <v>#REF!</v>
      </c>
      <c r="FY53" t="e">
        <f>AND(#REF!,"AAAAAHzrd7Q=")</f>
        <v>#REF!</v>
      </c>
      <c r="FZ53" t="e">
        <f>IF(#REF!,"AAAAAHzrd7U=",0)</f>
        <v>#REF!</v>
      </c>
      <c r="GA53" t="e">
        <f>AND(#REF!,"AAAAAHzrd7Y=")</f>
        <v>#REF!</v>
      </c>
      <c r="GB53" t="e">
        <f>AND(#REF!,"AAAAAHzrd7c=")</f>
        <v>#REF!</v>
      </c>
      <c r="GC53" t="e">
        <f>AND(#REF!,"AAAAAHzrd7g=")</f>
        <v>#REF!</v>
      </c>
      <c r="GD53" t="e">
        <f>AND(#REF!,"AAAAAHzrd7k=")</f>
        <v>#REF!</v>
      </c>
      <c r="GE53" t="e">
        <f>AND(#REF!,"AAAAAHzrd7o=")</f>
        <v>#REF!</v>
      </c>
      <c r="GF53" t="e">
        <f>AND(#REF!,"AAAAAHzrd7s=")</f>
        <v>#REF!</v>
      </c>
      <c r="GG53" t="e">
        <f>AND(#REF!,"AAAAAHzrd7w=")</f>
        <v>#REF!</v>
      </c>
      <c r="GH53" t="e">
        <f>AND(#REF!,"AAAAAHzrd70=")</f>
        <v>#REF!</v>
      </c>
      <c r="GI53" t="e">
        <f>AND(#REF!,"AAAAAHzrd74=")</f>
        <v>#REF!</v>
      </c>
      <c r="GJ53" t="e">
        <f>AND(#REF!,"AAAAAHzrd78=")</f>
        <v>#REF!</v>
      </c>
      <c r="GK53" t="e">
        <f>AND(#REF!,"AAAAAHzrd8A=")</f>
        <v>#REF!</v>
      </c>
      <c r="GL53" t="e">
        <f>AND(#REF!,"AAAAAHzrd8E=")</f>
        <v>#REF!</v>
      </c>
      <c r="GM53" t="e">
        <f>AND(#REF!,"AAAAAHzrd8I=")</f>
        <v>#REF!</v>
      </c>
      <c r="GN53" t="e">
        <f>AND(#REF!,"AAAAAHzrd8M=")</f>
        <v>#REF!</v>
      </c>
      <c r="GO53" t="e">
        <f>AND(#REF!,"AAAAAHzrd8Q=")</f>
        <v>#REF!</v>
      </c>
      <c r="GP53" t="e">
        <f>AND(#REF!,"AAAAAHzrd8U=")</f>
        <v>#REF!</v>
      </c>
      <c r="GQ53" t="e">
        <f>AND(#REF!,"AAAAAHzrd8Y=")</f>
        <v>#REF!</v>
      </c>
      <c r="GR53" t="e">
        <f>AND(#REF!,"AAAAAHzrd8c=")</f>
        <v>#REF!</v>
      </c>
      <c r="GS53" t="e">
        <f>AND(#REF!,"AAAAAHzrd8g=")</f>
        <v>#REF!</v>
      </c>
      <c r="GT53" t="e">
        <f>AND(#REF!,"AAAAAHzrd8k=")</f>
        <v>#REF!</v>
      </c>
      <c r="GU53" t="e">
        <f>AND(#REF!,"AAAAAHzrd8o=")</f>
        <v>#REF!</v>
      </c>
      <c r="GV53" t="e">
        <f>AND(#REF!,"AAAAAHzrd8s=")</f>
        <v>#REF!</v>
      </c>
      <c r="GW53" t="e">
        <f>AND(#REF!,"AAAAAHzrd8w=")</f>
        <v>#REF!</v>
      </c>
      <c r="GX53" t="e">
        <f>IF(#REF!,"AAAAAHzrd80=",0)</f>
        <v>#REF!</v>
      </c>
      <c r="GY53" t="e">
        <f>AND(#REF!,"AAAAAHzrd84=")</f>
        <v>#REF!</v>
      </c>
      <c r="GZ53" t="e">
        <f>AND(#REF!,"AAAAAHzrd88=")</f>
        <v>#REF!</v>
      </c>
      <c r="HA53" t="e">
        <f>AND(#REF!,"AAAAAHzrd9A=")</f>
        <v>#REF!</v>
      </c>
      <c r="HB53" t="e">
        <f>AND(#REF!,"AAAAAHzrd9E=")</f>
        <v>#REF!</v>
      </c>
      <c r="HC53" t="e">
        <f>AND(#REF!,"AAAAAHzrd9I=")</f>
        <v>#REF!</v>
      </c>
      <c r="HD53" t="e">
        <f>AND(#REF!,"AAAAAHzrd9M=")</f>
        <v>#REF!</v>
      </c>
      <c r="HE53" t="e">
        <f>AND(#REF!,"AAAAAHzrd9Q=")</f>
        <v>#REF!</v>
      </c>
      <c r="HF53" t="e">
        <f>AND(#REF!,"AAAAAHzrd9U=")</f>
        <v>#REF!</v>
      </c>
      <c r="HG53" t="e">
        <f>AND(#REF!,"AAAAAHzrd9Y=")</f>
        <v>#REF!</v>
      </c>
      <c r="HH53" t="e">
        <f>AND(#REF!,"AAAAAHzrd9c=")</f>
        <v>#REF!</v>
      </c>
      <c r="HI53" t="e">
        <f>AND(#REF!,"AAAAAHzrd9g=")</f>
        <v>#REF!</v>
      </c>
      <c r="HJ53" t="e">
        <f>AND(#REF!,"AAAAAHzrd9k=")</f>
        <v>#REF!</v>
      </c>
      <c r="HK53" t="e">
        <f>AND(#REF!,"AAAAAHzrd9o=")</f>
        <v>#REF!</v>
      </c>
      <c r="HL53" t="e">
        <f>AND(#REF!,"AAAAAHzrd9s=")</f>
        <v>#REF!</v>
      </c>
      <c r="HM53" t="e">
        <f>AND(#REF!,"AAAAAHzrd9w=")</f>
        <v>#REF!</v>
      </c>
      <c r="HN53" t="e">
        <f>AND(#REF!,"AAAAAHzrd90=")</f>
        <v>#REF!</v>
      </c>
      <c r="HO53" t="e">
        <f>AND(#REF!,"AAAAAHzrd94=")</f>
        <v>#REF!</v>
      </c>
      <c r="HP53" t="e">
        <f>AND(#REF!,"AAAAAHzrd98=")</f>
        <v>#REF!</v>
      </c>
      <c r="HQ53" t="e">
        <f>AND(#REF!,"AAAAAHzrd+A=")</f>
        <v>#REF!</v>
      </c>
      <c r="HR53" t="e">
        <f>AND(#REF!,"AAAAAHzrd+E=")</f>
        <v>#REF!</v>
      </c>
      <c r="HS53" t="e">
        <f>AND(#REF!,"AAAAAHzrd+I=")</f>
        <v>#REF!</v>
      </c>
      <c r="HT53" t="e">
        <f>AND(#REF!,"AAAAAHzrd+M=")</f>
        <v>#REF!</v>
      </c>
      <c r="HU53" t="e">
        <f>AND(#REF!,"AAAAAHzrd+Q=")</f>
        <v>#REF!</v>
      </c>
      <c r="HV53" t="e">
        <f>IF(#REF!,"AAAAAHzrd+U=",0)</f>
        <v>#REF!</v>
      </c>
      <c r="HW53" t="e">
        <f>AND(#REF!,"AAAAAHzrd+Y=")</f>
        <v>#REF!</v>
      </c>
      <c r="HX53" t="e">
        <f>AND(#REF!,"AAAAAHzrd+c=")</f>
        <v>#REF!</v>
      </c>
      <c r="HY53" t="e">
        <f>AND(#REF!,"AAAAAHzrd+g=")</f>
        <v>#REF!</v>
      </c>
      <c r="HZ53" t="e">
        <f>AND(#REF!,"AAAAAHzrd+k=")</f>
        <v>#REF!</v>
      </c>
      <c r="IA53" t="e">
        <f>AND(#REF!,"AAAAAHzrd+o=")</f>
        <v>#REF!</v>
      </c>
      <c r="IB53" t="e">
        <f>AND(#REF!,"AAAAAHzrd+s=")</f>
        <v>#REF!</v>
      </c>
      <c r="IC53" t="e">
        <f>AND(#REF!,"AAAAAHzrd+w=")</f>
        <v>#REF!</v>
      </c>
      <c r="ID53" t="e">
        <f>AND(#REF!,"AAAAAHzrd+0=")</f>
        <v>#REF!</v>
      </c>
      <c r="IE53" t="e">
        <f>AND(#REF!,"AAAAAHzrd+4=")</f>
        <v>#REF!</v>
      </c>
      <c r="IF53" t="e">
        <f>AND(#REF!,"AAAAAHzrd+8=")</f>
        <v>#REF!</v>
      </c>
      <c r="IG53" t="e">
        <f>AND(#REF!,"AAAAAHzrd/A=")</f>
        <v>#REF!</v>
      </c>
      <c r="IH53" t="e">
        <f>AND(#REF!,"AAAAAHzrd/E=")</f>
        <v>#REF!</v>
      </c>
      <c r="II53" t="e">
        <f>AND(#REF!,"AAAAAHzrd/I=")</f>
        <v>#REF!</v>
      </c>
      <c r="IJ53" t="e">
        <f>AND(#REF!,"AAAAAHzrd/M=")</f>
        <v>#REF!</v>
      </c>
      <c r="IK53" t="e">
        <f>AND(#REF!,"AAAAAHzrd/Q=")</f>
        <v>#REF!</v>
      </c>
      <c r="IL53" t="e">
        <f>AND(#REF!,"AAAAAHzrd/U=")</f>
        <v>#REF!</v>
      </c>
      <c r="IM53" t="e">
        <f>AND(#REF!,"AAAAAHzrd/Y=")</f>
        <v>#REF!</v>
      </c>
      <c r="IN53" t="e">
        <f>AND(#REF!,"AAAAAHzrd/c=")</f>
        <v>#REF!</v>
      </c>
      <c r="IO53" t="e">
        <f>AND(#REF!,"AAAAAHzrd/g=")</f>
        <v>#REF!</v>
      </c>
      <c r="IP53" t="e">
        <f>AND(#REF!,"AAAAAHzrd/k=")</f>
        <v>#REF!</v>
      </c>
      <c r="IQ53" t="e">
        <f>AND(#REF!,"AAAAAHzrd/o=")</f>
        <v>#REF!</v>
      </c>
      <c r="IR53" t="e">
        <f>AND(#REF!,"AAAAAHzrd/s=")</f>
        <v>#REF!</v>
      </c>
      <c r="IS53" t="e">
        <f>AND(#REF!,"AAAAAHzrd/w=")</f>
        <v>#REF!</v>
      </c>
      <c r="IT53" t="e">
        <f>IF(#REF!,"AAAAAHzrd/0=",0)</f>
        <v>#REF!</v>
      </c>
      <c r="IU53" t="e">
        <f>AND(#REF!,"AAAAAHzrd/4=")</f>
        <v>#REF!</v>
      </c>
      <c r="IV53" t="e">
        <f>AND(#REF!,"AAAAAHzrd/8=")</f>
        <v>#REF!</v>
      </c>
    </row>
    <row r="54" spans="1:256" x14ac:dyDescent="0.15">
      <c r="A54" t="e">
        <f>AND(#REF!,"AAAAAC/9/QA=")</f>
        <v>#REF!</v>
      </c>
      <c r="B54" t="e">
        <f>AND(#REF!,"AAAAAC/9/QE=")</f>
        <v>#REF!</v>
      </c>
      <c r="C54" t="e">
        <f>AND(#REF!,"AAAAAC/9/QI=")</f>
        <v>#REF!</v>
      </c>
      <c r="D54" t="e">
        <f>AND(#REF!,"AAAAAC/9/QM=")</f>
        <v>#REF!</v>
      </c>
      <c r="E54" t="e">
        <f>AND(#REF!,"AAAAAC/9/QQ=")</f>
        <v>#REF!</v>
      </c>
      <c r="F54" t="e">
        <f>AND(#REF!,"AAAAAC/9/QU=")</f>
        <v>#REF!</v>
      </c>
      <c r="G54" t="e">
        <f>AND(#REF!,"AAAAAC/9/QY=")</f>
        <v>#REF!</v>
      </c>
      <c r="H54" t="e">
        <f>AND(#REF!,"AAAAAC/9/Qc=")</f>
        <v>#REF!</v>
      </c>
      <c r="I54" t="e">
        <f>AND(#REF!,"AAAAAC/9/Qg=")</f>
        <v>#REF!</v>
      </c>
      <c r="J54" t="e">
        <f>AND(#REF!,"AAAAAC/9/Qk=")</f>
        <v>#REF!</v>
      </c>
      <c r="K54" t="e">
        <f>AND(#REF!,"AAAAAC/9/Qo=")</f>
        <v>#REF!</v>
      </c>
      <c r="L54" t="e">
        <f>AND(#REF!,"AAAAAC/9/Qs=")</f>
        <v>#REF!</v>
      </c>
      <c r="M54" t="e">
        <f>AND(#REF!,"AAAAAC/9/Qw=")</f>
        <v>#REF!</v>
      </c>
      <c r="N54" t="e">
        <f>AND(#REF!,"AAAAAC/9/Q0=")</f>
        <v>#REF!</v>
      </c>
      <c r="O54" t="e">
        <f>AND(#REF!,"AAAAAC/9/Q4=")</f>
        <v>#REF!</v>
      </c>
      <c r="P54" t="e">
        <f>AND(#REF!,"AAAAAC/9/Q8=")</f>
        <v>#REF!</v>
      </c>
      <c r="Q54" t="e">
        <f>AND(#REF!,"AAAAAC/9/RA=")</f>
        <v>#REF!</v>
      </c>
      <c r="R54" t="e">
        <f>AND(#REF!,"AAAAAC/9/RE=")</f>
        <v>#REF!</v>
      </c>
      <c r="S54" t="e">
        <f>AND(#REF!,"AAAAAC/9/RI=")</f>
        <v>#REF!</v>
      </c>
      <c r="T54" t="e">
        <f>AND(#REF!,"AAAAAC/9/RM=")</f>
        <v>#REF!</v>
      </c>
      <c r="U54" t="e">
        <f>AND(#REF!,"AAAAAC/9/RQ=")</f>
        <v>#REF!</v>
      </c>
      <c r="V54" t="e">
        <f>IF(#REF!,"AAAAAC/9/RU=",0)</f>
        <v>#REF!</v>
      </c>
      <c r="W54" t="e">
        <f>AND(#REF!,"AAAAAC/9/RY=")</f>
        <v>#REF!</v>
      </c>
      <c r="X54" t="e">
        <f>AND(#REF!,"AAAAAC/9/Rc=")</f>
        <v>#REF!</v>
      </c>
      <c r="Y54" t="e">
        <f>AND(#REF!,"AAAAAC/9/Rg=")</f>
        <v>#REF!</v>
      </c>
      <c r="Z54" t="e">
        <f>AND(#REF!,"AAAAAC/9/Rk=")</f>
        <v>#REF!</v>
      </c>
      <c r="AA54" t="e">
        <f>AND(#REF!,"AAAAAC/9/Ro=")</f>
        <v>#REF!</v>
      </c>
      <c r="AB54" t="e">
        <f>AND(#REF!,"AAAAAC/9/Rs=")</f>
        <v>#REF!</v>
      </c>
      <c r="AC54" t="e">
        <f>AND(#REF!,"AAAAAC/9/Rw=")</f>
        <v>#REF!</v>
      </c>
      <c r="AD54" t="e">
        <f>AND(#REF!,"AAAAAC/9/R0=")</f>
        <v>#REF!</v>
      </c>
      <c r="AE54" t="e">
        <f>AND(#REF!,"AAAAAC/9/R4=")</f>
        <v>#REF!</v>
      </c>
      <c r="AF54" t="e">
        <f>AND(#REF!,"AAAAAC/9/R8=")</f>
        <v>#REF!</v>
      </c>
      <c r="AG54" t="e">
        <f>AND(#REF!,"AAAAAC/9/SA=")</f>
        <v>#REF!</v>
      </c>
      <c r="AH54" t="e">
        <f>AND(#REF!,"AAAAAC/9/SE=")</f>
        <v>#REF!</v>
      </c>
      <c r="AI54" t="e">
        <f>AND(#REF!,"AAAAAC/9/SI=")</f>
        <v>#REF!</v>
      </c>
      <c r="AJ54" t="e">
        <f>AND(#REF!,"AAAAAC/9/SM=")</f>
        <v>#REF!</v>
      </c>
      <c r="AK54" t="e">
        <f>AND(#REF!,"AAAAAC/9/SQ=")</f>
        <v>#REF!</v>
      </c>
      <c r="AL54" t="e">
        <f>AND(#REF!,"AAAAAC/9/SU=")</f>
        <v>#REF!</v>
      </c>
      <c r="AM54" t="e">
        <f>AND(#REF!,"AAAAAC/9/SY=")</f>
        <v>#REF!</v>
      </c>
      <c r="AN54" t="e">
        <f>AND(#REF!,"AAAAAC/9/Sc=")</f>
        <v>#REF!</v>
      </c>
      <c r="AO54" t="e">
        <f>AND(#REF!,"AAAAAC/9/Sg=")</f>
        <v>#REF!</v>
      </c>
      <c r="AP54" t="e">
        <f>AND(#REF!,"AAAAAC/9/Sk=")</f>
        <v>#REF!</v>
      </c>
      <c r="AQ54" t="e">
        <f>AND(#REF!,"AAAAAC/9/So=")</f>
        <v>#REF!</v>
      </c>
      <c r="AR54" t="e">
        <f>AND(#REF!,"AAAAAC/9/Ss=")</f>
        <v>#REF!</v>
      </c>
      <c r="AS54" t="e">
        <f>AND(#REF!,"AAAAAC/9/Sw=")</f>
        <v>#REF!</v>
      </c>
      <c r="AT54" t="e">
        <f>IF(#REF!,"AAAAAC/9/S0=",0)</f>
        <v>#REF!</v>
      </c>
      <c r="AU54" t="e">
        <f>AND(#REF!,"AAAAAC/9/S4=")</f>
        <v>#REF!</v>
      </c>
      <c r="AV54" t="e">
        <f>AND(#REF!,"AAAAAC/9/S8=")</f>
        <v>#REF!</v>
      </c>
      <c r="AW54" t="e">
        <f>AND(#REF!,"AAAAAC/9/TA=")</f>
        <v>#REF!</v>
      </c>
      <c r="AX54" t="e">
        <f>AND(#REF!,"AAAAAC/9/TE=")</f>
        <v>#REF!</v>
      </c>
      <c r="AY54" t="e">
        <f>AND(#REF!,"AAAAAC/9/TI=")</f>
        <v>#REF!</v>
      </c>
      <c r="AZ54" t="e">
        <f>AND(#REF!,"AAAAAC/9/TM=")</f>
        <v>#REF!</v>
      </c>
      <c r="BA54" t="e">
        <f>AND(#REF!,"AAAAAC/9/TQ=")</f>
        <v>#REF!</v>
      </c>
      <c r="BB54" t="e">
        <f>AND(#REF!,"AAAAAC/9/TU=")</f>
        <v>#REF!</v>
      </c>
      <c r="BC54" t="e">
        <f>AND(#REF!,"AAAAAC/9/TY=")</f>
        <v>#REF!</v>
      </c>
      <c r="BD54" t="e">
        <f>AND(#REF!,"AAAAAC/9/Tc=")</f>
        <v>#REF!</v>
      </c>
      <c r="BE54" t="e">
        <f>AND(#REF!,"AAAAAC/9/Tg=")</f>
        <v>#REF!</v>
      </c>
      <c r="BF54" t="e">
        <f>AND(#REF!,"AAAAAC/9/Tk=")</f>
        <v>#REF!</v>
      </c>
      <c r="BG54" t="e">
        <f>AND(#REF!,"AAAAAC/9/To=")</f>
        <v>#REF!</v>
      </c>
      <c r="BH54" t="e">
        <f>AND(#REF!,"AAAAAC/9/Ts=")</f>
        <v>#REF!</v>
      </c>
      <c r="BI54" t="e">
        <f>AND(#REF!,"AAAAAC/9/Tw=")</f>
        <v>#REF!</v>
      </c>
      <c r="BJ54" t="e">
        <f>AND(#REF!,"AAAAAC/9/T0=")</f>
        <v>#REF!</v>
      </c>
      <c r="BK54" t="e">
        <f>AND(#REF!,"AAAAAC/9/T4=")</f>
        <v>#REF!</v>
      </c>
      <c r="BL54" t="e">
        <f>AND(#REF!,"AAAAAC/9/T8=")</f>
        <v>#REF!</v>
      </c>
      <c r="BM54" t="e">
        <f>AND(#REF!,"AAAAAC/9/UA=")</f>
        <v>#REF!</v>
      </c>
      <c r="BN54" t="e">
        <f>AND(#REF!,"AAAAAC/9/UE=")</f>
        <v>#REF!</v>
      </c>
      <c r="BO54" t="e">
        <f>AND(#REF!,"AAAAAC/9/UI=")</f>
        <v>#REF!</v>
      </c>
      <c r="BP54" t="e">
        <f>AND(#REF!,"AAAAAC/9/UM=")</f>
        <v>#REF!</v>
      </c>
      <c r="BQ54" t="e">
        <f>AND(#REF!,"AAAAAC/9/UQ=")</f>
        <v>#REF!</v>
      </c>
      <c r="BR54" t="e">
        <f>IF(#REF!,"AAAAAC/9/UU=",0)</f>
        <v>#REF!</v>
      </c>
      <c r="BS54" t="e">
        <f>AND(#REF!,"AAAAAC/9/UY=")</f>
        <v>#REF!</v>
      </c>
      <c r="BT54" t="e">
        <f>AND(#REF!,"AAAAAC/9/Uc=")</f>
        <v>#REF!</v>
      </c>
      <c r="BU54" t="e">
        <f>AND(#REF!,"AAAAAC/9/Ug=")</f>
        <v>#REF!</v>
      </c>
      <c r="BV54" t="e">
        <f>AND(#REF!,"AAAAAC/9/Uk=")</f>
        <v>#REF!</v>
      </c>
      <c r="BW54" t="e">
        <f>AND(#REF!,"AAAAAC/9/Uo=")</f>
        <v>#REF!</v>
      </c>
      <c r="BX54" t="e">
        <f>AND(#REF!,"AAAAAC/9/Us=")</f>
        <v>#REF!</v>
      </c>
      <c r="BY54" t="e">
        <f>AND(#REF!,"AAAAAC/9/Uw=")</f>
        <v>#REF!</v>
      </c>
      <c r="BZ54" t="e">
        <f>AND(#REF!,"AAAAAC/9/U0=")</f>
        <v>#REF!</v>
      </c>
      <c r="CA54" t="e">
        <f>AND(#REF!,"AAAAAC/9/U4=")</f>
        <v>#REF!</v>
      </c>
      <c r="CB54" t="e">
        <f>AND(#REF!,"AAAAAC/9/U8=")</f>
        <v>#REF!</v>
      </c>
      <c r="CC54" t="e">
        <f>AND(#REF!,"AAAAAC/9/VA=")</f>
        <v>#REF!</v>
      </c>
      <c r="CD54" t="e">
        <f>AND(#REF!,"AAAAAC/9/VE=")</f>
        <v>#REF!</v>
      </c>
      <c r="CE54" t="e">
        <f>AND(#REF!,"AAAAAC/9/VI=")</f>
        <v>#REF!</v>
      </c>
      <c r="CF54" t="e">
        <f>AND(#REF!,"AAAAAC/9/VM=")</f>
        <v>#REF!</v>
      </c>
      <c r="CG54" t="e">
        <f>AND(#REF!,"AAAAAC/9/VQ=")</f>
        <v>#REF!</v>
      </c>
      <c r="CH54" t="e">
        <f>AND(#REF!,"AAAAAC/9/VU=")</f>
        <v>#REF!</v>
      </c>
      <c r="CI54" t="e">
        <f>AND(#REF!,"AAAAAC/9/VY=")</f>
        <v>#REF!</v>
      </c>
      <c r="CJ54" t="e">
        <f>AND(#REF!,"AAAAAC/9/Vc=")</f>
        <v>#REF!</v>
      </c>
      <c r="CK54" t="e">
        <f>AND(#REF!,"AAAAAC/9/Vg=")</f>
        <v>#REF!</v>
      </c>
      <c r="CL54" t="e">
        <f>AND(#REF!,"AAAAAC/9/Vk=")</f>
        <v>#REF!</v>
      </c>
      <c r="CM54" t="e">
        <f>AND(#REF!,"AAAAAC/9/Vo=")</f>
        <v>#REF!</v>
      </c>
      <c r="CN54" t="e">
        <f>AND(#REF!,"AAAAAC/9/Vs=")</f>
        <v>#REF!</v>
      </c>
      <c r="CO54" t="e">
        <f>AND(#REF!,"AAAAAC/9/Vw=")</f>
        <v>#REF!</v>
      </c>
      <c r="CP54" t="e">
        <f>IF(#REF!,"AAAAAC/9/V0=",0)</f>
        <v>#REF!</v>
      </c>
      <c r="CQ54" t="e">
        <f>AND(#REF!,"AAAAAC/9/V4=")</f>
        <v>#REF!</v>
      </c>
      <c r="CR54" t="e">
        <f>AND(#REF!,"AAAAAC/9/V8=")</f>
        <v>#REF!</v>
      </c>
      <c r="CS54" t="e">
        <f>AND(#REF!,"AAAAAC/9/WA=")</f>
        <v>#REF!</v>
      </c>
      <c r="CT54" t="e">
        <f>AND(#REF!,"AAAAAC/9/WE=")</f>
        <v>#REF!</v>
      </c>
      <c r="CU54" t="e">
        <f>AND(#REF!,"AAAAAC/9/WI=")</f>
        <v>#REF!</v>
      </c>
      <c r="CV54" t="e">
        <f>AND(#REF!,"AAAAAC/9/WM=")</f>
        <v>#REF!</v>
      </c>
      <c r="CW54" t="e">
        <f>AND(#REF!,"AAAAAC/9/WQ=")</f>
        <v>#REF!</v>
      </c>
      <c r="CX54" t="e">
        <f>AND(#REF!,"AAAAAC/9/WU=")</f>
        <v>#REF!</v>
      </c>
      <c r="CY54" t="e">
        <f>AND(#REF!,"AAAAAC/9/WY=")</f>
        <v>#REF!</v>
      </c>
      <c r="CZ54" t="e">
        <f>AND(#REF!,"AAAAAC/9/Wc=")</f>
        <v>#REF!</v>
      </c>
      <c r="DA54" t="e">
        <f>AND(#REF!,"AAAAAC/9/Wg=")</f>
        <v>#REF!</v>
      </c>
      <c r="DB54" t="e">
        <f>AND(#REF!,"AAAAAC/9/Wk=")</f>
        <v>#REF!</v>
      </c>
      <c r="DC54" t="e">
        <f>AND(#REF!,"AAAAAC/9/Wo=")</f>
        <v>#REF!</v>
      </c>
      <c r="DD54" t="e">
        <f>AND(#REF!,"AAAAAC/9/Ws=")</f>
        <v>#REF!</v>
      </c>
      <c r="DE54" t="e">
        <f>AND(#REF!,"AAAAAC/9/Ww=")</f>
        <v>#REF!</v>
      </c>
      <c r="DF54" t="e">
        <f>AND(#REF!,"AAAAAC/9/W0=")</f>
        <v>#REF!</v>
      </c>
      <c r="DG54" t="e">
        <f>AND(#REF!,"AAAAAC/9/W4=")</f>
        <v>#REF!</v>
      </c>
      <c r="DH54" t="e">
        <f>AND(#REF!,"AAAAAC/9/W8=")</f>
        <v>#REF!</v>
      </c>
      <c r="DI54" t="e">
        <f>AND(#REF!,"AAAAAC/9/XA=")</f>
        <v>#REF!</v>
      </c>
      <c r="DJ54" t="e">
        <f>AND(#REF!,"AAAAAC/9/XE=")</f>
        <v>#REF!</v>
      </c>
      <c r="DK54" t="e">
        <f>AND(#REF!,"AAAAAC/9/XI=")</f>
        <v>#REF!</v>
      </c>
      <c r="DL54" t="e">
        <f>AND(#REF!,"AAAAAC/9/XM=")</f>
        <v>#REF!</v>
      </c>
      <c r="DM54" t="e">
        <f>AND(#REF!,"AAAAAC/9/XQ=")</f>
        <v>#REF!</v>
      </c>
      <c r="DN54" t="e">
        <f>IF(#REF!,"AAAAAC/9/XU=",0)</f>
        <v>#REF!</v>
      </c>
      <c r="DO54" t="e">
        <f>AND(#REF!,"AAAAAC/9/XY=")</f>
        <v>#REF!</v>
      </c>
      <c r="DP54" t="e">
        <f>AND(#REF!,"AAAAAC/9/Xc=")</f>
        <v>#REF!</v>
      </c>
      <c r="DQ54" t="e">
        <f>AND(#REF!,"AAAAAC/9/Xg=")</f>
        <v>#REF!</v>
      </c>
      <c r="DR54" t="e">
        <f>AND(#REF!,"AAAAAC/9/Xk=")</f>
        <v>#REF!</v>
      </c>
      <c r="DS54" t="e">
        <f>AND(#REF!,"AAAAAC/9/Xo=")</f>
        <v>#REF!</v>
      </c>
      <c r="DT54" t="e">
        <f>AND(#REF!,"AAAAAC/9/Xs=")</f>
        <v>#REF!</v>
      </c>
      <c r="DU54" t="e">
        <f>AND(#REF!,"AAAAAC/9/Xw=")</f>
        <v>#REF!</v>
      </c>
      <c r="DV54" t="e">
        <f>AND(#REF!,"AAAAAC/9/X0=")</f>
        <v>#REF!</v>
      </c>
      <c r="DW54" t="e">
        <f>AND(#REF!,"AAAAAC/9/X4=")</f>
        <v>#REF!</v>
      </c>
      <c r="DX54" t="e">
        <f>AND(#REF!,"AAAAAC/9/X8=")</f>
        <v>#REF!</v>
      </c>
      <c r="DY54" t="e">
        <f>AND(#REF!,"AAAAAC/9/YA=")</f>
        <v>#REF!</v>
      </c>
      <c r="DZ54" t="e">
        <f>AND(#REF!,"AAAAAC/9/YE=")</f>
        <v>#REF!</v>
      </c>
      <c r="EA54" t="e">
        <f>AND(#REF!,"AAAAAC/9/YI=")</f>
        <v>#REF!</v>
      </c>
      <c r="EB54" t="e">
        <f>AND(#REF!,"AAAAAC/9/YM=")</f>
        <v>#REF!</v>
      </c>
      <c r="EC54" t="e">
        <f>AND(#REF!,"AAAAAC/9/YQ=")</f>
        <v>#REF!</v>
      </c>
      <c r="ED54" t="e">
        <f>AND(#REF!,"AAAAAC/9/YU=")</f>
        <v>#REF!</v>
      </c>
      <c r="EE54" t="e">
        <f>AND(#REF!,"AAAAAC/9/YY=")</f>
        <v>#REF!</v>
      </c>
      <c r="EF54" t="e">
        <f>AND(#REF!,"AAAAAC/9/Yc=")</f>
        <v>#REF!</v>
      </c>
      <c r="EG54" t="e">
        <f>AND(#REF!,"AAAAAC/9/Yg=")</f>
        <v>#REF!</v>
      </c>
      <c r="EH54" t="e">
        <f>AND(#REF!,"AAAAAC/9/Yk=")</f>
        <v>#REF!</v>
      </c>
      <c r="EI54" t="e">
        <f>AND(#REF!,"AAAAAC/9/Yo=")</f>
        <v>#REF!</v>
      </c>
      <c r="EJ54" t="e">
        <f>AND(#REF!,"AAAAAC/9/Ys=")</f>
        <v>#REF!</v>
      </c>
      <c r="EK54" t="e">
        <f>AND(#REF!,"AAAAAC/9/Yw=")</f>
        <v>#REF!</v>
      </c>
      <c r="EL54" t="e">
        <f>IF(#REF!,"AAAAAC/9/Y0=",0)</f>
        <v>#REF!</v>
      </c>
      <c r="EM54" t="e">
        <f>AND(#REF!,"AAAAAC/9/Y4=")</f>
        <v>#REF!</v>
      </c>
      <c r="EN54" t="e">
        <f>AND(#REF!,"AAAAAC/9/Y8=")</f>
        <v>#REF!</v>
      </c>
      <c r="EO54" t="e">
        <f>AND(#REF!,"AAAAAC/9/ZA=")</f>
        <v>#REF!</v>
      </c>
      <c r="EP54" t="e">
        <f>AND(#REF!,"AAAAAC/9/ZE=")</f>
        <v>#REF!</v>
      </c>
      <c r="EQ54" t="e">
        <f>AND(#REF!,"AAAAAC/9/ZI=")</f>
        <v>#REF!</v>
      </c>
      <c r="ER54" t="e">
        <f>AND(#REF!,"AAAAAC/9/ZM=")</f>
        <v>#REF!</v>
      </c>
      <c r="ES54" t="e">
        <f>AND(#REF!,"AAAAAC/9/ZQ=")</f>
        <v>#REF!</v>
      </c>
      <c r="ET54" t="e">
        <f>AND(#REF!,"AAAAAC/9/ZU=")</f>
        <v>#REF!</v>
      </c>
      <c r="EU54" t="e">
        <f>AND(#REF!,"AAAAAC/9/ZY=")</f>
        <v>#REF!</v>
      </c>
      <c r="EV54" t="e">
        <f>AND(#REF!,"AAAAAC/9/Zc=")</f>
        <v>#REF!</v>
      </c>
      <c r="EW54" t="e">
        <f>AND(#REF!,"AAAAAC/9/Zg=")</f>
        <v>#REF!</v>
      </c>
      <c r="EX54" t="e">
        <f>AND(#REF!,"AAAAAC/9/Zk=")</f>
        <v>#REF!</v>
      </c>
      <c r="EY54" t="e">
        <f>AND(#REF!,"AAAAAC/9/Zo=")</f>
        <v>#REF!</v>
      </c>
      <c r="EZ54" t="e">
        <f>AND(#REF!,"AAAAAC/9/Zs=")</f>
        <v>#REF!</v>
      </c>
      <c r="FA54" t="e">
        <f>AND(#REF!,"AAAAAC/9/Zw=")</f>
        <v>#REF!</v>
      </c>
      <c r="FB54" t="e">
        <f>AND(#REF!,"AAAAAC/9/Z0=")</f>
        <v>#REF!</v>
      </c>
      <c r="FC54" t="e">
        <f>AND(#REF!,"AAAAAC/9/Z4=")</f>
        <v>#REF!</v>
      </c>
      <c r="FD54" t="e">
        <f>AND(#REF!,"AAAAAC/9/Z8=")</f>
        <v>#REF!</v>
      </c>
      <c r="FE54" t="e">
        <f>AND(#REF!,"AAAAAC/9/aA=")</f>
        <v>#REF!</v>
      </c>
      <c r="FF54" t="e">
        <f>AND(#REF!,"AAAAAC/9/aE=")</f>
        <v>#REF!</v>
      </c>
      <c r="FG54" t="e">
        <f>AND(#REF!,"AAAAAC/9/aI=")</f>
        <v>#REF!</v>
      </c>
      <c r="FH54" t="e">
        <f>AND(#REF!,"AAAAAC/9/aM=")</f>
        <v>#REF!</v>
      </c>
      <c r="FI54" t="e">
        <f>AND(#REF!,"AAAAAC/9/aQ=")</f>
        <v>#REF!</v>
      </c>
      <c r="FJ54" t="e">
        <f>IF(#REF!,"AAAAAC/9/aU=",0)</f>
        <v>#REF!</v>
      </c>
      <c r="FK54" t="e">
        <f>AND(#REF!,"AAAAAC/9/aY=")</f>
        <v>#REF!</v>
      </c>
      <c r="FL54" t="e">
        <f>AND(#REF!,"AAAAAC/9/ac=")</f>
        <v>#REF!</v>
      </c>
      <c r="FM54" t="e">
        <f>AND(#REF!,"AAAAAC/9/ag=")</f>
        <v>#REF!</v>
      </c>
      <c r="FN54" t="e">
        <f>AND(#REF!,"AAAAAC/9/ak=")</f>
        <v>#REF!</v>
      </c>
      <c r="FO54" t="e">
        <f>AND(#REF!,"AAAAAC/9/ao=")</f>
        <v>#REF!</v>
      </c>
      <c r="FP54" t="e">
        <f>AND(#REF!,"AAAAAC/9/as=")</f>
        <v>#REF!</v>
      </c>
      <c r="FQ54" t="e">
        <f>AND(#REF!,"AAAAAC/9/aw=")</f>
        <v>#REF!</v>
      </c>
      <c r="FR54" t="e">
        <f>AND(#REF!,"AAAAAC/9/a0=")</f>
        <v>#REF!</v>
      </c>
      <c r="FS54" t="e">
        <f>AND(#REF!,"AAAAAC/9/a4=")</f>
        <v>#REF!</v>
      </c>
      <c r="FT54" t="e">
        <f>AND(#REF!,"AAAAAC/9/a8=")</f>
        <v>#REF!</v>
      </c>
      <c r="FU54" t="e">
        <f>AND(#REF!,"AAAAAC/9/bA=")</f>
        <v>#REF!</v>
      </c>
      <c r="FV54" t="e">
        <f>AND(#REF!,"AAAAAC/9/bE=")</f>
        <v>#REF!</v>
      </c>
      <c r="FW54" t="e">
        <f>AND(#REF!,"AAAAAC/9/bI=")</f>
        <v>#REF!</v>
      </c>
      <c r="FX54" t="e">
        <f>AND(#REF!,"AAAAAC/9/bM=")</f>
        <v>#REF!</v>
      </c>
      <c r="FY54" t="e">
        <f>AND(#REF!,"AAAAAC/9/bQ=")</f>
        <v>#REF!</v>
      </c>
      <c r="FZ54" t="e">
        <f>AND(#REF!,"AAAAAC/9/bU=")</f>
        <v>#REF!</v>
      </c>
      <c r="GA54" t="e">
        <f>AND(#REF!,"AAAAAC/9/bY=")</f>
        <v>#REF!</v>
      </c>
      <c r="GB54" t="e">
        <f>AND(#REF!,"AAAAAC/9/bc=")</f>
        <v>#REF!</v>
      </c>
      <c r="GC54" t="e">
        <f>AND(#REF!,"AAAAAC/9/bg=")</f>
        <v>#REF!</v>
      </c>
      <c r="GD54" t="e">
        <f>AND(#REF!,"AAAAAC/9/bk=")</f>
        <v>#REF!</v>
      </c>
      <c r="GE54" t="e">
        <f>AND(#REF!,"AAAAAC/9/bo=")</f>
        <v>#REF!</v>
      </c>
      <c r="GF54" t="e">
        <f>AND(#REF!,"AAAAAC/9/bs=")</f>
        <v>#REF!</v>
      </c>
      <c r="GG54" t="e">
        <f>AND(#REF!,"AAAAAC/9/bw=")</f>
        <v>#REF!</v>
      </c>
      <c r="GH54" t="e">
        <f>IF(#REF!,"AAAAAC/9/b0=",0)</f>
        <v>#REF!</v>
      </c>
      <c r="GI54" t="e">
        <f>AND(#REF!,"AAAAAC/9/b4=")</f>
        <v>#REF!</v>
      </c>
      <c r="GJ54" t="e">
        <f>AND(#REF!,"AAAAAC/9/b8=")</f>
        <v>#REF!</v>
      </c>
      <c r="GK54" t="e">
        <f>AND(#REF!,"AAAAAC/9/cA=")</f>
        <v>#REF!</v>
      </c>
      <c r="GL54" t="e">
        <f>AND(#REF!,"AAAAAC/9/cE=")</f>
        <v>#REF!</v>
      </c>
      <c r="GM54" t="e">
        <f>AND(#REF!,"AAAAAC/9/cI=")</f>
        <v>#REF!</v>
      </c>
      <c r="GN54" t="e">
        <f>AND(#REF!,"AAAAAC/9/cM=")</f>
        <v>#REF!</v>
      </c>
      <c r="GO54" t="e">
        <f>AND(#REF!,"AAAAAC/9/cQ=")</f>
        <v>#REF!</v>
      </c>
      <c r="GP54" t="e">
        <f>AND(#REF!,"AAAAAC/9/cU=")</f>
        <v>#REF!</v>
      </c>
      <c r="GQ54" t="e">
        <f>AND(#REF!,"AAAAAC/9/cY=")</f>
        <v>#REF!</v>
      </c>
      <c r="GR54" t="e">
        <f>AND(#REF!,"AAAAAC/9/cc=")</f>
        <v>#REF!</v>
      </c>
      <c r="GS54" t="e">
        <f>AND(#REF!,"AAAAAC/9/cg=")</f>
        <v>#REF!</v>
      </c>
      <c r="GT54" t="e">
        <f>AND(#REF!,"AAAAAC/9/ck=")</f>
        <v>#REF!</v>
      </c>
      <c r="GU54" t="e">
        <f>AND(#REF!,"AAAAAC/9/co=")</f>
        <v>#REF!</v>
      </c>
      <c r="GV54" t="e">
        <f>AND(#REF!,"AAAAAC/9/cs=")</f>
        <v>#REF!</v>
      </c>
      <c r="GW54" t="e">
        <f>AND(#REF!,"AAAAAC/9/cw=")</f>
        <v>#REF!</v>
      </c>
      <c r="GX54" t="e">
        <f>AND(#REF!,"AAAAAC/9/c0=")</f>
        <v>#REF!</v>
      </c>
      <c r="GY54" t="e">
        <f>AND(#REF!,"AAAAAC/9/c4=")</f>
        <v>#REF!</v>
      </c>
      <c r="GZ54" t="e">
        <f>AND(#REF!,"AAAAAC/9/c8=")</f>
        <v>#REF!</v>
      </c>
      <c r="HA54" t="e">
        <f>AND(#REF!,"AAAAAC/9/dA=")</f>
        <v>#REF!</v>
      </c>
      <c r="HB54" t="e">
        <f>AND(#REF!,"AAAAAC/9/dE=")</f>
        <v>#REF!</v>
      </c>
      <c r="HC54" t="e">
        <f>AND(#REF!,"AAAAAC/9/dI=")</f>
        <v>#REF!</v>
      </c>
      <c r="HD54" t="e">
        <f>AND(#REF!,"AAAAAC/9/dM=")</f>
        <v>#REF!</v>
      </c>
      <c r="HE54" t="e">
        <f>AND(#REF!,"AAAAAC/9/dQ=")</f>
        <v>#REF!</v>
      </c>
      <c r="HF54" t="e">
        <f>IF(#REF!,"AAAAAC/9/dU=",0)</f>
        <v>#REF!</v>
      </c>
      <c r="HG54" t="e">
        <f>AND(#REF!,"AAAAAC/9/dY=")</f>
        <v>#REF!</v>
      </c>
      <c r="HH54" t="e">
        <f>AND(#REF!,"AAAAAC/9/dc=")</f>
        <v>#REF!</v>
      </c>
      <c r="HI54" t="e">
        <f>AND(#REF!,"AAAAAC/9/dg=")</f>
        <v>#REF!</v>
      </c>
      <c r="HJ54" t="e">
        <f>AND(#REF!,"AAAAAC/9/dk=")</f>
        <v>#REF!</v>
      </c>
      <c r="HK54" t="e">
        <f>AND(#REF!,"AAAAAC/9/do=")</f>
        <v>#REF!</v>
      </c>
      <c r="HL54" t="e">
        <f>AND(#REF!,"AAAAAC/9/ds=")</f>
        <v>#REF!</v>
      </c>
      <c r="HM54" t="e">
        <f>AND(#REF!,"AAAAAC/9/dw=")</f>
        <v>#REF!</v>
      </c>
      <c r="HN54" t="e">
        <f>AND(#REF!,"AAAAAC/9/d0=")</f>
        <v>#REF!</v>
      </c>
      <c r="HO54" t="e">
        <f>AND(#REF!,"AAAAAC/9/d4=")</f>
        <v>#REF!</v>
      </c>
      <c r="HP54" t="e">
        <f>AND(#REF!,"AAAAAC/9/d8=")</f>
        <v>#REF!</v>
      </c>
      <c r="HQ54" t="e">
        <f>AND(#REF!,"AAAAAC/9/eA=")</f>
        <v>#REF!</v>
      </c>
      <c r="HR54" t="e">
        <f>AND(#REF!,"AAAAAC/9/eE=")</f>
        <v>#REF!</v>
      </c>
      <c r="HS54" t="e">
        <f>AND(#REF!,"AAAAAC/9/eI=")</f>
        <v>#REF!</v>
      </c>
      <c r="HT54" t="e">
        <f>AND(#REF!,"AAAAAC/9/eM=")</f>
        <v>#REF!</v>
      </c>
      <c r="HU54" t="e">
        <f>AND(#REF!,"AAAAAC/9/eQ=")</f>
        <v>#REF!</v>
      </c>
      <c r="HV54" t="e">
        <f>AND(#REF!,"AAAAAC/9/eU=")</f>
        <v>#REF!</v>
      </c>
      <c r="HW54" t="e">
        <f>AND(#REF!,"AAAAAC/9/eY=")</f>
        <v>#REF!</v>
      </c>
      <c r="HX54" t="e">
        <f>AND(#REF!,"AAAAAC/9/ec=")</f>
        <v>#REF!</v>
      </c>
      <c r="HY54" t="e">
        <f>AND(#REF!,"AAAAAC/9/eg=")</f>
        <v>#REF!</v>
      </c>
      <c r="HZ54" t="e">
        <f>AND(#REF!,"AAAAAC/9/ek=")</f>
        <v>#REF!</v>
      </c>
      <c r="IA54" t="e">
        <f>AND(#REF!,"AAAAAC/9/eo=")</f>
        <v>#REF!</v>
      </c>
      <c r="IB54" t="e">
        <f>AND(#REF!,"AAAAAC/9/es=")</f>
        <v>#REF!</v>
      </c>
      <c r="IC54" t="e">
        <f>AND(#REF!,"AAAAAC/9/ew=")</f>
        <v>#REF!</v>
      </c>
      <c r="ID54" t="e">
        <f>IF(#REF!,"AAAAAC/9/e0=",0)</f>
        <v>#REF!</v>
      </c>
      <c r="IE54" t="e">
        <f>AND(#REF!,"AAAAAC/9/e4=")</f>
        <v>#REF!</v>
      </c>
      <c r="IF54" t="e">
        <f>AND(#REF!,"AAAAAC/9/e8=")</f>
        <v>#REF!</v>
      </c>
      <c r="IG54" t="e">
        <f>AND(#REF!,"AAAAAC/9/fA=")</f>
        <v>#REF!</v>
      </c>
      <c r="IH54" t="e">
        <f>AND(#REF!,"AAAAAC/9/fE=")</f>
        <v>#REF!</v>
      </c>
      <c r="II54" t="e">
        <f>AND(#REF!,"AAAAAC/9/fI=")</f>
        <v>#REF!</v>
      </c>
      <c r="IJ54" t="e">
        <f>AND(#REF!,"AAAAAC/9/fM=")</f>
        <v>#REF!</v>
      </c>
      <c r="IK54" t="e">
        <f>AND(#REF!,"AAAAAC/9/fQ=")</f>
        <v>#REF!</v>
      </c>
      <c r="IL54" t="e">
        <f>AND(#REF!,"AAAAAC/9/fU=")</f>
        <v>#REF!</v>
      </c>
      <c r="IM54" t="e">
        <f>AND(#REF!,"AAAAAC/9/fY=")</f>
        <v>#REF!</v>
      </c>
      <c r="IN54" t="e">
        <f>AND(#REF!,"AAAAAC/9/fc=")</f>
        <v>#REF!</v>
      </c>
      <c r="IO54" t="e">
        <f>AND(#REF!,"AAAAAC/9/fg=")</f>
        <v>#REF!</v>
      </c>
      <c r="IP54" t="e">
        <f>AND(#REF!,"AAAAAC/9/fk=")</f>
        <v>#REF!</v>
      </c>
      <c r="IQ54" t="e">
        <f>AND(#REF!,"AAAAAC/9/fo=")</f>
        <v>#REF!</v>
      </c>
      <c r="IR54" t="e">
        <f>AND(#REF!,"AAAAAC/9/fs=")</f>
        <v>#REF!</v>
      </c>
      <c r="IS54" t="e">
        <f>AND(#REF!,"AAAAAC/9/fw=")</f>
        <v>#REF!</v>
      </c>
      <c r="IT54" t="e">
        <f>AND(#REF!,"AAAAAC/9/f0=")</f>
        <v>#REF!</v>
      </c>
      <c r="IU54" t="e">
        <f>AND(#REF!,"AAAAAC/9/f4=")</f>
        <v>#REF!</v>
      </c>
      <c r="IV54" t="e">
        <f>AND(#REF!,"AAAAAC/9/f8=")</f>
        <v>#REF!</v>
      </c>
    </row>
    <row r="55" spans="1:256" x14ac:dyDescent="0.15">
      <c r="A55" t="e">
        <f>AND(#REF!,"AAAAAET+rQA=")</f>
        <v>#REF!</v>
      </c>
      <c r="B55" t="e">
        <f>AND(#REF!,"AAAAAET+rQE=")</f>
        <v>#REF!</v>
      </c>
      <c r="C55" t="e">
        <f>AND(#REF!,"AAAAAET+rQI=")</f>
        <v>#REF!</v>
      </c>
      <c r="D55" t="e">
        <f>AND(#REF!,"AAAAAET+rQM=")</f>
        <v>#REF!</v>
      </c>
      <c r="E55" t="e">
        <f>AND(#REF!,"AAAAAET+rQQ=")</f>
        <v>#REF!</v>
      </c>
      <c r="F55" t="e">
        <f>IF(#REF!,"AAAAAET+rQU=",0)</f>
        <v>#REF!</v>
      </c>
      <c r="G55" t="e">
        <f>AND(#REF!,"AAAAAET+rQY=")</f>
        <v>#REF!</v>
      </c>
      <c r="H55" t="e">
        <f>AND(#REF!,"AAAAAET+rQc=")</f>
        <v>#REF!</v>
      </c>
      <c r="I55" t="e">
        <f>AND(#REF!,"AAAAAET+rQg=")</f>
        <v>#REF!</v>
      </c>
      <c r="J55" t="e">
        <f>AND(#REF!,"AAAAAET+rQk=")</f>
        <v>#REF!</v>
      </c>
      <c r="K55" t="e">
        <f>AND(#REF!,"AAAAAET+rQo=")</f>
        <v>#REF!</v>
      </c>
      <c r="L55" t="e">
        <f>AND(#REF!,"AAAAAET+rQs=")</f>
        <v>#REF!</v>
      </c>
      <c r="M55" t="e">
        <f>AND(#REF!,"AAAAAET+rQw=")</f>
        <v>#REF!</v>
      </c>
      <c r="N55" t="e">
        <f>AND(#REF!,"AAAAAET+rQ0=")</f>
        <v>#REF!</v>
      </c>
      <c r="O55" t="e">
        <f>AND(#REF!,"AAAAAET+rQ4=")</f>
        <v>#REF!</v>
      </c>
      <c r="P55" t="e">
        <f>AND(#REF!,"AAAAAET+rQ8=")</f>
        <v>#REF!</v>
      </c>
      <c r="Q55" t="e">
        <f>AND(#REF!,"AAAAAET+rRA=")</f>
        <v>#REF!</v>
      </c>
      <c r="R55" t="e">
        <f>AND(#REF!,"AAAAAET+rRE=")</f>
        <v>#REF!</v>
      </c>
      <c r="S55" t="e">
        <f>AND(#REF!,"AAAAAET+rRI=")</f>
        <v>#REF!</v>
      </c>
      <c r="T55" t="e">
        <f>AND(#REF!,"AAAAAET+rRM=")</f>
        <v>#REF!</v>
      </c>
      <c r="U55" t="e">
        <f>AND(#REF!,"AAAAAET+rRQ=")</f>
        <v>#REF!</v>
      </c>
      <c r="V55" t="e">
        <f>AND(#REF!,"AAAAAET+rRU=")</f>
        <v>#REF!</v>
      </c>
      <c r="W55" t="e">
        <f>AND(#REF!,"AAAAAET+rRY=")</f>
        <v>#REF!</v>
      </c>
      <c r="X55" t="e">
        <f>AND(#REF!,"AAAAAET+rRc=")</f>
        <v>#REF!</v>
      </c>
      <c r="Y55" t="e">
        <f>AND(#REF!,"AAAAAET+rRg=")</f>
        <v>#REF!</v>
      </c>
      <c r="Z55" t="e">
        <f>AND(#REF!,"AAAAAET+rRk=")</f>
        <v>#REF!</v>
      </c>
      <c r="AA55" t="e">
        <f>AND(#REF!,"AAAAAET+rRo=")</f>
        <v>#REF!</v>
      </c>
      <c r="AB55" t="e">
        <f>AND(#REF!,"AAAAAET+rRs=")</f>
        <v>#REF!</v>
      </c>
      <c r="AC55" t="e">
        <f>AND(#REF!,"AAAAAET+rRw=")</f>
        <v>#REF!</v>
      </c>
      <c r="AD55" t="e">
        <f>IF(#REF!,"AAAAAET+rR0=",0)</f>
        <v>#REF!</v>
      </c>
      <c r="AE55" t="e">
        <f>AND(#REF!,"AAAAAET+rR4=")</f>
        <v>#REF!</v>
      </c>
      <c r="AF55" t="e">
        <f>AND(#REF!,"AAAAAET+rR8=")</f>
        <v>#REF!</v>
      </c>
      <c r="AG55" t="e">
        <f>AND(#REF!,"AAAAAET+rSA=")</f>
        <v>#REF!</v>
      </c>
      <c r="AH55" t="e">
        <f>AND(#REF!,"AAAAAET+rSE=")</f>
        <v>#REF!</v>
      </c>
      <c r="AI55" t="e">
        <f>AND(#REF!,"AAAAAET+rSI=")</f>
        <v>#REF!</v>
      </c>
      <c r="AJ55" t="e">
        <f>AND(#REF!,"AAAAAET+rSM=")</f>
        <v>#REF!</v>
      </c>
      <c r="AK55" t="e">
        <f>AND(#REF!,"AAAAAET+rSQ=")</f>
        <v>#REF!</v>
      </c>
      <c r="AL55" t="e">
        <f>AND(#REF!,"AAAAAET+rSU=")</f>
        <v>#REF!</v>
      </c>
      <c r="AM55" t="e">
        <f>AND(#REF!,"AAAAAET+rSY=")</f>
        <v>#REF!</v>
      </c>
      <c r="AN55" t="e">
        <f>AND(#REF!,"AAAAAET+rSc=")</f>
        <v>#REF!</v>
      </c>
      <c r="AO55" t="e">
        <f>AND(#REF!,"AAAAAET+rSg=")</f>
        <v>#REF!</v>
      </c>
      <c r="AP55" t="e">
        <f>AND(#REF!,"AAAAAET+rSk=")</f>
        <v>#REF!</v>
      </c>
      <c r="AQ55" t="e">
        <f>AND(#REF!,"AAAAAET+rSo=")</f>
        <v>#REF!</v>
      </c>
      <c r="AR55" t="e">
        <f>AND(#REF!,"AAAAAET+rSs=")</f>
        <v>#REF!</v>
      </c>
      <c r="AS55" t="e">
        <f>AND(#REF!,"AAAAAET+rSw=")</f>
        <v>#REF!</v>
      </c>
      <c r="AT55" t="e">
        <f>AND(#REF!,"AAAAAET+rS0=")</f>
        <v>#REF!</v>
      </c>
      <c r="AU55" t="e">
        <f>AND(#REF!,"AAAAAET+rS4=")</f>
        <v>#REF!</v>
      </c>
      <c r="AV55" t="e">
        <f>AND(#REF!,"AAAAAET+rS8=")</f>
        <v>#REF!</v>
      </c>
      <c r="AW55" t="e">
        <f>AND(#REF!,"AAAAAET+rTA=")</f>
        <v>#REF!</v>
      </c>
      <c r="AX55" t="e">
        <f>AND(#REF!,"AAAAAET+rTE=")</f>
        <v>#REF!</v>
      </c>
      <c r="AY55" t="e">
        <f>AND(#REF!,"AAAAAET+rTI=")</f>
        <v>#REF!</v>
      </c>
      <c r="AZ55" t="e">
        <f>AND(#REF!,"AAAAAET+rTM=")</f>
        <v>#REF!</v>
      </c>
      <c r="BA55" t="e">
        <f>AND(#REF!,"AAAAAET+rTQ=")</f>
        <v>#REF!</v>
      </c>
      <c r="BB55" t="e">
        <f>IF(#REF!,"AAAAAET+rTU=",0)</f>
        <v>#REF!</v>
      </c>
      <c r="BC55" t="e">
        <f>AND(#REF!,"AAAAAET+rTY=")</f>
        <v>#REF!</v>
      </c>
      <c r="BD55" t="e">
        <f>AND(#REF!,"AAAAAET+rTc=")</f>
        <v>#REF!</v>
      </c>
      <c r="BE55" t="e">
        <f>AND(#REF!,"AAAAAET+rTg=")</f>
        <v>#REF!</v>
      </c>
      <c r="BF55" t="e">
        <f>AND(#REF!,"AAAAAET+rTk=")</f>
        <v>#REF!</v>
      </c>
      <c r="BG55" t="e">
        <f>AND(#REF!,"AAAAAET+rTo=")</f>
        <v>#REF!</v>
      </c>
      <c r="BH55" t="e">
        <f>AND(#REF!,"AAAAAET+rTs=")</f>
        <v>#REF!</v>
      </c>
      <c r="BI55" t="e">
        <f>AND(#REF!,"AAAAAET+rTw=")</f>
        <v>#REF!</v>
      </c>
      <c r="BJ55" t="e">
        <f>AND(#REF!,"AAAAAET+rT0=")</f>
        <v>#REF!</v>
      </c>
      <c r="BK55" t="e">
        <f>AND(#REF!,"AAAAAET+rT4=")</f>
        <v>#REF!</v>
      </c>
      <c r="BL55" t="e">
        <f>AND(#REF!,"AAAAAET+rT8=")</f>
        <v>#REF!</v>
      </c>
      <c r="BM55" t="e">
        <f>AND(#REF!,"AAAAAET+rUA=")</f>
        <v>#REF!</v>
      </c>
      <c r="BN55" t="e">
        <f>AND(#REF!,"AAAAAET+rUE=")</f>
        <v>#REF!</v>
      </c>
      <c r="BO55" t="e">
        <f>AND(#REF!,"AAAAAET+rUI=")</f>
        <v>#REF!</v>
      </c>
      <c r="BP55" t="e">
        <f>AND(#REF!,"AAAAAET+rUM=")</f>
        <v>#REF!</v>
      </c>
      <c r="BQ55" t="e">
        <f>AND(#REF!,"AAAAAET+rUQ=")</f>
        <v>#REF!</v>
      </c>
      <c r="BR55" t="e">
        <f>AND(#REF!,"AAAAAET+rUU=")</f>
        <v>#REF!</v>
      </c>
      <c r="BS55" t="e">
        <f>AND(#REF!,"AAAAAET+rUY=")</f>
        <v>#REF!</v>
      </c>
      <c r="BT55" t="e">
        <f>AND(#REF!,"AAAAAET+rUc=")</f>
        <v>#REF!</v>
      </c>
      <c r="BU55" t="e">
        <f>AND(#REF!,"AAAAAET+rUg=")</f>
        <v>#REF!</v>
      </c>
      <c r="BV55" t="e">
        <f>AND(#REF!,"AAAAAET+rUk=")</f>
        <v>#REF!</v>
      </c>
      <c r="BW55" t="e">
        <f>AND(#REF!,"AAAAAET+rUo=")</f>
        <v>#REF!</v>
      </c>
      <c r="BX55" t="e">
        <f>AND(#REF!,"AAAAAET+rUs=")</f>
        <v>#REF!</v>
      </c>
      <c r="BY55" t="e">
        <f>AND(#REF!,"AAAAAET+rUw=")</f>
        <v>#REF!</v>
      </c>
      <c r="BZ55" t="e">
        <f>IF(#REF!,"AAAAAET+rU0=",0)</f>
        <v>#REF!</v>
      </c>
      <c r="CA55" t="e">
        <f>AND(#REF!,"AAAAAET+rU4=")</f>
        <v>#REF!</v>
      </c>
      <c r="CB55" t="e">
        <f>AND(#REF!,"AAAAAET+rU8=")</f>
        <v>#REF!</v>
      </c>
      <c r="CC55" t="e">
        <f>AND(#REF!,"AAAAAET+rVA=")</f>
        <v>#REF!</v>
      </c>
      <c r="CD55" t="e">
        <f>AND(#REF!,"AAAAAET+rVE=")</f>
        <v>#REF!</v>
      </c>
      <c r="CE55" t="e">
        <f>AND(#REF!,"AAAAAET+rVI=")</f>
        <v>#REF!</v>
      </c>
      <c r="CF55" t="e">
        <f>AND(#REF!,"AAAAAET+rVM=")</f>
        <v>#REF!</v>
      </c>
      <c r="CG55" t="e">
        <f>AND(#REF!,"AAAAAET+rVQ=")</f>
        <v>#REF!</v>
      </c>
      <c r="CH55" t="e">
        <f>AND(#REF!,"AAAAAET+rVU=")</f>
        <v>#REF!</v>
      </c>
      <c r="CI55" t="e">
        <f>AND(#REF!,"AAAAAET+rVY=")</f>
        <v>#REF!</v>
      </c>
      <c r="CJ55" t="e">
        <f>AND(#REF!,"AAAAAET+rVc=")</f>
        <v>#REF!</v>
      </c>
      <c r="CK55" t="e">
        <f>AND(#REF!,"AAAAAET+rVg=")</f>
        <v>#REF!</v>
      </c>
      <c r="CL55" t="e">
        <f>AND(#REF!,"AAAAAET+rVk=")</f>
        <v>#REF!</v>
      </c>
      <c r="CM55" t="e">
        <f>AND(#REF!,"AAAAAET+rVo=")</f>
        <v>#REF!</v>
      </c>
      <c r="CN55" t="e">
        <f>AND(#REF!,"AAAAAET+rVs=")</f>
        <v>#REF!</v>
      </c>
      <c r="CO55" t="e">
        <f>AND(#REF!,"AAAAAET+rVw=")</f>
        <v>#REF!</v>
      </c>
      <c r="CP55" t="e">
        <f>AND(#REF!,"AAAAAET+rV0=")</f>
        <v>#REF!</v>
      </c>
      <c r="CQ55" t="e">
        <f>AND(#REF!,"AAAAAET+rV4=")</f>
        <v>#REF!</v>
      </c>
      <c r="CR55" t="e">
        <f>AND(#REF!,"AAAAAET+rV8=")</f>
        <v>#REF!</v>
      </c>
      <c r="CS55" t="e">
        <f>AND(#REF!,"AAAAAET+rWA=")</f>
        <v>#REF!</v>
      </c>
      <c r="CT55" t="e">
        <f>AND(#REF!,"AAAAAET+rWE=")</f>
        <v>#REF!</v>
      </c>
      <c r="CU55" t="e">
        <f>AND(#REF!,"AAAAAET+rWI=")</f>
        <v>#REF!</v>
      </c>
      <c r="CV55" t="e">
        <f>AND(#REF!,"AAAAAET+rWM=")</f>
        <v>#REF!</v>
      </c>
      <c r="CW55" t="e">
        <f>AND(#REF!,"AAAAAET+rWQ=")</f>
        <v>#REF!</v>
      </c>
      <c r="CX55" t="e">
        <f>IF(#REF!,"AAAAAET+rWU=",0)</f>
        <v>#REF!</v>
      </c>
      <c r="CY55" t="e">
        <f>AND(#REF!,"AAAAAET+rWY=")</f>
        <v>#REF!</v>
      </c>
      <c r="CZ55" t="e">
        <f>AND(#REF!,"AAAAAET+rWc=")</f>
        <v>#REF!</v>
      </c>
      <c r="DA55" t="e">
        <f>AND(#REF!,"AAAAAET+rWg=")</f>
        <v>#REF!</v>
      </c>
      <c r="DB55" t="e">
        <f>AND(#REF!,"AAAAAET+rWk=")</f>
        <v>#REF!</v>
      </c>
      <c r="DC55" t="e">
        <f>AND(#REF!,"AAAAAET+rWo=")</f>
        <v>#REF!</v>
      </c>
      <c r="DD55" t="e">
        <f>AND(#REF!,"AAAAAET+rWs=")</f>
        <v>#REF!</v>
      </c>
      <c r="DE55" t="e">
        <f>AND(#REF!,"AAAAAET+rWw=")</f>
        <v>#REF!</v>
      </c>
      <c r="DF55" t="e">
        <f>AND(#REF!,"AAAAAET+rW0=")</f>
        <v>#REF!</v>
      </c>
      <c r="DG55" t="e">
        <f>AND(#REF!,"AAAAAET+rW4=")</f>
        <v>#REF!</v>
      </c>
      <c r="DH55" t="e">
        <f>AND(#REF!,"AAAAAET+rW8=")</f>
        <v>#REF!</v>
      </c>
      <c r="DI55" t="e">
        <f>AND(#REF!,"AAAAAET+rXA=")</f>
        <v>#REF!</v>
      </c>
      <c r="DJ55" t="e">
        <f>AND(#REF!,"AAAAAET+rXE=")</f>
        <v>#REF!</v>
      </c>
      <c r="DK55" t="e">
        <f>AND(#REF!,"AAAAAET+rXI=")</f>
        <v>#REF!</v>
      </c>
      <c r="DL55" t="e">
        <f>AND(#REF!,"AAAAAET+rXM=")</f>
        <v>#REF!</v>
      </c>
      <c r="DM55" t="e">
        <f>AND(#REF!,"AAAAAET+rXQ=")</f>
        <v>#REF!</v>
      </c>
      <c r="DN55" t="e">
        <f>AND(#REF!,"AAAAAET+rXU=")</f>
        <v>#REF!</v>
      </c>
      <c r="DO55" t="e">
        <f>AND(#REF!,"AAAAAET+rXY=")</f>
        <v>#REF!</v>
      </c>
      <c r="DP55" t="e">
        <f>AND(#REF!,"AAAAAET+rXc=")</f>
        <v>#REF!</v>
      </c>
      <c r="DQ55" t="e">
        <f>AND(#REF!,"AAAAAET+rXg=")</f>
        <v>#REF!</v>
      </c>
      <c r="DR55" t="e">
        <f>AND(#REF!,"AAAAAET+rXk=")</f>
        <v>#REF!</v>
      </c>
      <c r="DS55" t="e">
        <f>AND(#REF!,"AAAAAET+rXo=")</f>
        <v>#REF!</v>
      </c>
      <c r="DT55" t="e">
        <f>AND(#REF!,"AAAAAET+rXs=")</f>
        <v>#REF!</v>
      </c>
      <c r="DU55" t="e">
        <f>AND(#REF!,"AAAAAET+rXw=")</f>
        <v>#REF!</v>
      </c>
      <c r="DV55" t="e">
        <f>IF(#REF!,"AAAAAET+rX0=",0)</f>
        <v>#REF!</v>
      </c>
      <c r="DW55" t="e">
        <f>AND(#REF!,"AAAAAET+rX4=")</f>
        <v>#REF!</v>
      </c>
      <c r="DX55" t="e">
        <f>AND(#REF!,"AAAAAET+rX8=")</f>
        <v>#REF!</v>
      </c>
      <c r="DY55" t="e">
        <f>AND(#REF!,"AAAAAET+rYA=")</f>
        <v>#REF!</v>
      </c>
      <c r="DZ55" t="e">
        <f>AND(#REF!,"AAAAAET+rYE=")</f>
        <v>#REF!</v>
      </c>
      <c r="EA55" t="e">
        <f>AND(#REF!,"AAAAAET+rYI=")</f>
        <v>#REF!</v>
      </c>
      <c r="EB55" t="e">
        <f>AND(#REF!,"AAAAAET+rYM=")</f>
        <v>#REF!</v>
      </c>
      <c r="EC55" t="e">
        <f>AND(#REF!,"AAAAAET+rYQ=")</f>
        <v>#REF!</v>
      </c>
      <c r="ED55" t="e">
        <f>AND(#REF!,"AAAAAET+rYU=")</f>
        <v>#REF!</v>
      </c>
      <c r="EE55" t="e">
        <f>AND(#REF!,"AAAAAET+rYY=")</f>
        <v>#REF!</v>
      </c>
      <c r="EF55" t="e">
        <f>AND(#REF!,"AAAAAET+rYc=")</f>
        <v>#REF!</v>
      </c>
      <c r="EG55" t="e">
        <f>AND(#REF!,"AAAAAET+rYg=")</f>
        <v>#REF!</v>
      </c>
      <c r="EH55" t="e">
        <f>AND(#REF!,"AAAAAET+rYk=")</f>
        <v>#REF!</v>
      </c>
      <c r="EI55" t="e">
        <f>AND(#REF!,"AAAAAET+rYo=")</f>
        <v>#REF!</v>
      </c>
      <c r="EJ55" t="e">
        <f>AND(#REF!,"AAAAAET+rYs=")</f>
        <v>#REF!</v>
      </c>
      <c r="EK55" t="e">
        <f>AND(#REF!,"AAAAAET+rYw=")</f>
        <v>#REF!</v>
      </c>
      <c r="EL55" t="e">
        <f>AND(#REF!,"AAAAAET+rY0=")</f>
        <v>#REF!</v>
      </c>
      <c r="EM55" t="e">
        <f>AND(#REF!,"AAAAAET+rY4=")</f>
        <v>#REF!</v>
      </c>
      <c r="EN55" t="e">
        <f>AND(#REF!,"AAAAAET+rY8=")</f>
        <v>#REF!</v>
      </c>
      <c r="EO55" t="e">
        <f>AND(#REF!,"AAAAAET+rZA=")</f>
        <v>#REF!</v>
      </c>
      <c r="EP55" t="e">
        <f>AND(#REF!,"AAAAAET+rZE=")</f>
        <v>#REF!</v>
      </c>
      <c r="EQ55" t="e">
        <f>AND(#REF!,"AAAAAET+rZI=")</f>
        <v>#REF!</v>
      </c>
      <c r="ER55" t="e">
        <f>AND(#REF!,"AAAAAET+rZM=")</f>
        <v>#REF!</v>
      </c>
      <c r="ES55" t="e">
        <f>AND(#REF!,"AAAAAET+rZQ=")</f>
        <v>#REF!</v>
      </c>
      <c r="ET55" t="e">
        <f>IF(#REF!,"AAAAAET+rZU=",0)</f>
        <v>#REF!</v>
      </c>
      <c r="EU55" t="e">
        <f>AND(#REF!,"AAAAAET+rZY=")</f>
        <v>#REF!</v>
      </c>
      <c r="EV55" t="e">
        <f>AND(#REF!,"AAAAAET+rZc=")</f>
        <v>#REF!</v>
      </c>
      <c r="EW55" t="e">
        <f>AND(#REF!,"AAAAAET+rZg=")</f>
        <v>#REF!</v>
      </c>
      <c r="EX55" t="e">
        <f>AND(#REF!,"AAAAAET+rZk=")</f>
        <v>#REF!</v>
      </c>
      <c r="EY55" t="e">
        <f>AND(#REF!,"AAAAAET+rZo=")</f>
        <v>#REF!</v>
      </c>
      <c r="EZ55" t="e">
        <f>AND(#REF!,"AAAAAET+rZs=")</f>
        <v>#REF!</v>
      </c>
      <c r="FA55" t="e">
        <f>AND(#REF!,"AAAAAET+rZw=")</f>
        <v>#REF!</v>
      </c>
      <c r="FB55" t="e">
        <f>AND(#REF!,"AAAAAET+rZ0=")</f>
        <v>#REF!</v>
      </c>
      <c r="FC55" t="e">
        <f>AND(#REF!,"AAAAAET+rZ4=")</f>
        <v>#REF!</v>
      </c>
      <c r="FD55" t="e">
        <f>AND(#REF!,"AAAAAET+rZ8=")</f>
        <v>#REF!</v>
      </c>
      <c r="FE55" t="e">
        <f>AND(#REF!,"AAAAAET+raA=")</f>
        <v>#REF!</v>
      </c>
      <c r="FF55" t="e">
        <f>AND(#REF!,"AAAAAET+raE=")</f>
        <v>#REF!</v>
      </c>
      <c r="FG55" t="e">
        <f>AND(#REF!,"AAAAAET+raI=")</f>
        <v>#REF!</v>
      </c>
      <c r="FH55" t="e">
        <f>AND(#REF!,"AAAAAET+raM=")</f>
        <v>#REF!</v>
      </c>
      <c r="FI55" t="e">
        <f>AND(#REF!,"AAAAAET+raQ=")</f>
        <v>#REF!</v>
      </c>
      <c r="FJ55" t="e">
        <f>AND(#REF!,"AAAAAET+raU=")</f>
        <v>#REF!</v>
      </c>
      <c r="FK55" t="e">
        <f>AND(#REF!,"AAAAAET+raY=")</f>
        <v>#REF!</v>
      </c>
      <c r="FL55" t="e">
        <f>AND(#REF!,"AAAAAET+rac=")</f>
        <v>#REF!</v>
      </c>
      <c r="FM55" t="e">
        <f>AND(#REF!,"AAAAAET+rag=")</f>
        <v>#REF!</v>
      </c>
      <c r="FN55" t="e">
        <f>AND(#REF!,"AAAAAET+rak=")</f>
        <v>#REF!</v>
      </c>
      <c r="FO55" t="e">
        <f>AND(#REF!,"AAAAAET+rao=")</f>
        <v>#REF!</v>
      </c>
      <c r="FP55" t="e">
        <f>AND(#REF!,"AAAAAET+ras=")</f>
        <v>#REF!</v>
      </c>
      <c r="FQ55" t="e">
        <f>AND(#REF!,"AAAAAET+raw=")</f>
        <v>#REF!</v>
      </c>
      <c r="FR55" t="e">
        <f>IF(#REF!,"AAAAAET+ra0=",0)</f>
        <v>#REF!</v>
      </c>
      <c r="FS55" t="e">
        <f>AND(#REF!,"AAAAAET+ra4=")</f>
        <v>#REF!</v>
      </c>
      <c r="FT55" t="e">
        <f>AND(#REF!,"AAAAAET+ra8=")</f>
        <v>#REF!</v>
      </c>
      <c r="FU55" t="e">
        <f>AND(#REF!,"AAAAAET+rbA=")</f>
        <v>#REF!</v>
      </c>
      <c r="FV55" t="e">
        <f>AND(#REF!,"AAAAAET+rbE=")</f>
        <v>#REF!</v>
      </c>
      <c r="FW55" t="e">
        <f>AND(#REF!,"AAAAAET+rbI=")</f>
        <v>#REF!</v>
      </c>
      <c r="FX55" t="e">
        <f>AND(#REF!,"AAAAAET+rbM=")</f>
        <v>#REF!</v>
      </c>
      <c r="FY55" t="e">
        <f>AND(#REF!,"AAAAAET+rbQ=")</f>
        <v>#REF!</v>
      </c>
      <c r="FZ55" t="e">
        <f>AND(#REF!,"AAAAAET+rbU=")</f>
        <v>#REF!</v>
      </c>
      <c r="GA55" t="e">
        <f>AND(#REF!,"AAAAAET+rbY=")</f>
        <v>#REF!</v>
      </c>
      <c r="GB55" t="e">
        <f>AND(#REF!,"AAAAAET+rbc=")</f>
        <v>#REF!</v>
      </c>
      <c r="GC55" t="e">
        <f>AND(#REF!,"AAAAAET+rbg=")</f>
        <v>#REF!</v>
      </c>
      <c r="GD55" t="e">
        <f>AND(#REF!,"AAAAAET+rbk=")</f>
        <v>#REF!</v>
      </c>
      <c r="GE55" t="e">
        <f>AND(#REF!,"AAAAAET+rbo=")</f>
        <v>#REF!</v>
      </c>
      <c r="GF55" t="e">
        <f>AND(#REF!,"AAAAAET+rbs=")</f>
        <v>#REF!</v>
      </c>
      <c r="GG55" t="e">
        <f>AND(#REF!,"AAAAAET+rbw=")</f>
        <v>#REF!</v>
      </c>
      <c r="GH55" t="e">
        <f>AND(#REF!,"AAAAAET+rb0=")</f>
        <v>#REF!</v>
      </c>
      <c r="GI55" t="e">
        <f>AND(#REF!,"AAAAAET+rb4=")</f>
        <v>#REF!</v>
      </c>
      <c r="GJ55" t="e">
        <f>AND(#REF!,"AAAAAET+rb8=")</f>
        <v>#REF!</v>
      </c>
      <c r="GK55" t="e">
        <f>AND(#REF!,"AAAAAET+rcA=")</f>
        <v>#REF!</v>
      </c>
      <c r="GL55" t="e">
        <f>AND(#REF!,"AAAAAET+rcE=")</f>
        <v>#REF!</v>
      </c>
      <c r="GM55" t="e">
        <f>AND(#REF!,"AAAAAET+rcI=")</f>
        <v>#REF!</v>
      </c>
      <c r="GN55" t="e">
        <f>AND(#REF!,"AAAAAET+rcM=")</f>
        <v>#REF!</v>
      </c>
      <c r="GO55" t="e">
        <f>AND(#REF!,"AAAAAET+rcQ=")</f>
        <v>#REF!</v>
      </c>
      <c r="GP55" t="e">
        <f>IF(#REF!,"AAAAAET+rcU=",0)</f>
        <v>#REF!</v>
      </c>
      <c r="GQ55" t="e">
        <f>AND(#REF!,"AAAAAET+rcY=")</f>
        <v>#REF!</v>
      </c>
      <c r="GR55" t="e">
        <f>AND(#REF!,"AAAAAET+rcc=")</f>
        <v>#REF!</v>
      </c>
      <c r="GS55" t="e">
        <f>AND(#REF!,"AAAAAET+rcg=")</f>
        <v>#REF!</v>
      </c>
      <c r="GT55" t="e">
        <f>AND(#REF!,"AAAAAET+rck=")</f>
        <v>#REF!</v>
      </c>
      <c r="GU55" t="e">
        <f>AND(#REF!,"AAAAAET+rco=")</f>
        <v>#REF!</v>
      </c>
      <c r="GV55" t="e">
        <f>AND(#REF!,"AAAAAET+rcs=")</f>
        <v>#REF!</v>
      </c>
      <c r="GW55" t="e">
        <f>AND(#REF!,"AAAAAET+rcw=")</f>
        <v>#REF!</v>
      </c>
      <c r="GX55" t="e">
        <f>AND(#REF!,"AAAAAET+rc0=")</f>
        <v>#REF!</v>
      </c>
      <c r="GY55" t="e">
        <f>AND(#REF!,"AAAAAET+rc4=")</f>
        <v>#REF!</v>
      </c>
      <c r="GZ55" t="e">
        <f>AND(#REF!,"AAAAAET+rc8=")</f>
        <v>#REF!</v>
      </c>
      <c r="HA55" t="e">
        <f>AND(#REF!,"AAAAAET+rdA=")</f>
        <v>#REF!</v>
      </c>
      <c r="HB55" t="e">
        <f>AND(#REF!,"AAAAAET+rdE=")</f>
        <v>#REF!</v>
      </c>
      <c r="HC55" t="e">
        <f>AND(#REF!,"AAAAAET+rdI=")</f>
        <v>#REF!</v>
      </c>
      <c r="HD55" t="e">
        <f>AND(#REF!,"AAAAAET+rdM=")</f>
        <v>#REF!</v>
      </c>
      <c r="HE55" t="e">
        <f>AND(#REF!,"AAAAAET+rdQ=")</f>
        <v>#REF!</v>
      </c>
      <c r="HF55" t="e">
        <f>AND(#REF!,"AAAAAET+rdU=")</f>
        <v>#REF!</v>
      </c>
      <c r="HG55" t="e">
        <f>AND(#REF!,"AAAAAET+rdY=")</f>
        <v>#REF!</v>
      </c>
      <c r="HH55" t="e">
        <f>AND(#REF!,"AAAAAET+rdc=")</f>
        <v>#REF!</v>
      </c>
      <c r="HI55" t="e">
        <f>AND(#REF!,"AAAAAET+rdg=")</f>
        <v>#REF!</v>
      </c>
      <c r="HJ55" t="e">
        <f>AND(#REF!,"AAAAAET+rdk=")</f>
        <v>#REF!</v>
      </c>
      <c r="HK55" t="e">
        <f>AND(#REF!,"AAAAAET+rdo=")</f>
        <v>#REF!</v>
      </c>
      <c r="HL55" t="e">
        <f>AND(#REF!,"AAAAAET+rds=")</f>
        <v>#REF!</v>
      </c>
      <c r="HM55" t="e">
        <f>AND(#REF!,"AAAAAET+rdw=")</f>
        <v>#REF!</v>
      </c>
      <c r="HN55" t="e">
        <f>IF(#REF!,"AAAAAET+rd0=",0)</f>
        <v>#REF!</v>
      </c>
      <c r="HO55" t="e">
        <f>AND(#REF!,"AAAAAET+rd4=")</f>
        <v>#REF!</v>
      </c>
      <c r="HP55" t="e">
        <f>AND(#REF!,"AAAAAET+rd8=")</f>
        <v>#REF!</v>
      </c>
      <c r="HQ55" t="e">
        <f>AND(#REF!,"AAAAAET+reA=")</f>
        <v>#REF!</v>
      </c>
      <c r="HR55" t="e">
        <f>AND(#REF!,"AAAAAET+reE=")</f>
        <v>#REF!</v>
      </c>
      <c r="HS55" t="e">
        <f>AND(#REF!,"AAAAAET+reI=")</f>
        <v>#REF!</v>
      </c>
      <c r="HT55" t="e">
        <f>AND(#REF!,"AAAAAET+reM=")</f>
        <v>#REF!</v>
      </c>
      <c r="HU55" t="e">
        <f>AND(#REF!,"AAAAAET+reQ=")</f>
        <v>#REF!</v>
      </c>
      <c r="HV55" t="e">
        <f>AND(#REF!,"AAAAAET+reU=")</f>
        <v>#REF!</v>
      </c>
      <c r="HW55" t="e">
        <f>AND(#REF!,"AAAAAET+reY=")</f>
        <v>#REF!</v>
      </c>
      <c r="HX55" t="e">
        <f>AND(#REF!,"AAAAAET+rec=")</f>
        <v>#REF!</v>
      </c>
      <c r="HY55" t="e">
        <f>AND(#REF!,"AAAAAET+reg=")</f>
        <v>#REF!</v>
      </c>
      <c r="HZ55" t="e">
        <f>AND(#REF!,"AAAAAET+rek=")</f>
        <v>#REF!</v>
      </c>
      <c r="IA55" t="e">
        <f>AND(#REF!,"AAAAAET+reo=")</f>
        <v>#REF!</v>
      </c>
      <c r="IB55" t="e">
        <f>AND(#REF!,"AAAAAET+res=")</f>
        <v>#REF!</v>
      </c>
      <c r="IC55" t="e">
        <f>AND(#REF!,"AAAAAET+rew=")</f>
        <v>#REF!</v>
      </c>
      <c r="ID55" t="e">
        <f>AND(#REF!,"AAAAAET+re0=")</f>
        <v>#REF!</v>
      </c>
      <c r="IE55" t="e">
        <f>AND(#REF!,"AAAAAET+re4=")</f>
        <v>#REF!</v>
      </c>
      <c r="IF55" t="e">
        <f>AND(#REF!,"AAAAAET+re8=")</f>
        <v>#REF!</v>
      </c>
      <c r="IG55" t="e">
        <f>AND(#REF!,"AAAAAET+rfA=")</f>
        <v>#REF!</v>
      </c>
      <c r="IH55" t="e">
        <f>AND(#REF!,"AAAAAET+rfE=")</f>
        <v>#REF!</v>
      </c>
      <c r="II55" t="e">
        <f>AND(#REF!,"AAAAAET+rfI=")</f>
        <v>#REF!</v>
      </c>
      <c r="IJ55" t="e">
        <f>AND(#REF!,"AAAAAET+rfM=")</f>
        <v>#REF!</v>
      </c>
      <c r="IK55" t="e">
        <f>AND(#REF!,"AAAAAET+rfQ=")</f>
        <v>#REF!</v>
      </c>
      <c r="IL55" t="e">
        <f>IF(#REF!,"AAAAAET+rfU=",0)</f>
        <v>#REF!</v>
      </c>
      <c r="IM55" t="e">
        <f>AND(#REF!,"AAAAAET+rfY=")</f>
        <v>#REF!</v>
      </c>
      <c r="IN55" t="e">
        <f>AND(#REF!,"AAAAAET+rfc=")</f>
        <v>#REF!</v>
      </c>
      <c r="IO55" t="e">
        <f>AND(#REF!,"AAAAAET+rfg=")</f>
        <v>#REF!</v>
      </c>
      <c r="IP55" t="e">
        <f>AND(#REF!,"AAAAAET+rfk=")</f>
        <v>#REF!</v>
      </c>
      <c r="IQ55" t="e">
        <f>AND(#REF!,"AAAAAET+rfo=")</f>
        <v>#REF!</v>
      </c>
      <c r="IR55" t="e">
        <f>AND(#REF!,"AAAAAET+rfs=")</f>
        <v>#REF!</v>
      </c>
      <c r="IS55" t="e">
        <f>AND(#REF!,"AAAAAET+rfw=")</f>
        <v>#REF!</v>
      </c>
      <c r="IT55" t="e">
        <f>AND(#REF!,"AAAAAET+rf0=")</f>
        <v>#REF!</v>
      </c>
      <c r="IU55" t="e">
        <f>AND(#REF!,"AAAAAET+rf4=")</f>
        <v>#REF!</v>
      </c>
      <c r="IV55" t="e">
        <f>AND(#REF!,"AAAAAET+rf8=")</f>
        <v>#REF!</v>
      </c>
    </row>
    <row r="56" spans="1:256" x14ac:dyDescent="0.15">
      <c r="A56" t="e">
        <f>AND(#REF!,"AAAAAEv9/wA=")</f>
        <v>#REF!</v>
      </c>
      <c r="B56" t="e">
        <f>AND(#REF!,"AAAAAEv9/wE=")</f>
        <v>#REF!</v>
      </c>
      <c r="C56" t="e">
        <f>AND(#REF!,"AAAAAEv9/wI=")</f>
        <v>#REF!</v>
      </c>
      <c r="D56" t="e">
        <f>AND(#REF!,"AAAAAEv9/wM=")</f>
        <v>#REF!</v>
      </c>
      <c r="E56" t="e">
        <f>AND(#REF!,"AAAAAEv9/wQ=")</f>
        <v>#REF!</v>
      </c>
      <c r="F56" t="e">
        <f>AND(#REF!,"AAAAAEv9/wU=")</f>
        <v>#REF!</v>
      </c>
      <c r="G56" t="e">
        <f>AND(#REF!,"AAAAAEv9/wY=")</f>
        <v>#REF!</v>
      </c>
      <c r="H56" t="e">
        <f>AND(#REF!,"AAAAAEv9/wc=")</f>
        <v>#REF!</v>
      </c>
      <c r="I56" t="e">
        <f>AND(#REF!,"AAAAAEv9/wg=")</f>
        <v>#REF!</v>
      </c>
      <c r="J56" t="e">
        <f>AND(#REF!,"AAAAAEv9/wk=")</f>
        <v>#REF!</v>
      </c>
      <c r="K56" t="e">
        <f>AND(#REF!,"AAAAAEv9/wo=")</f>
        <v>#REF!</v>
      </c>
      <c r="L56" t="e">
        <f>AND(#REF!,"AAAAAEv9/ws=")</f>
        <v>#REF!</v>
      </c>
      <c r="M56" t="e">
        <f>AND(#REF!,"AAAAAEv9/ww=")</f>
        <v>#REF!</v>
      </c>
      <c r="N56" t="e">
        <f>IF(#REF!,"AAAAAEv9/w0=",0)</f>
        <v>#REF!</v>
      </c>
      <c r="O56" t="e">
        <f>AND(#REF!,"AAAAAEv9/w4=")</f>
        <v>#REF!</v>
      </c>
      <c r="P56" t="e">
        <f>AND(#REF!,"AAAAAEv9/w8=")</f>
        <v>#REF!</v>
      </c>
      <c r="Q56" t="e">
        <f>AND(#REF!,"AAAAAEv9/xA=")</f>
        <v>#REF!</v>
      </c>
      <c r="R56" t="e">
        <f>AND(#REF!,"AAAAAEv9/xE=")</f>
        <v>#REF!</v>
      </c>
      <c r="S56" t="e">
        <f>AND(#REF!,"AAAAAEv9/xI=")</f>
        <v>#REF!</v>
      </c>
      <c r="T56" t="e">
        <f>AND(#REF!,"AAAAAEv9/xM=")</f>
        <v>#REF!</v>
      </c>
      <c r="U56" t="e">
        <f>AND(#REF!,"AAAAAEv9/xQ=")</f>
        <v>#REF!</v>
      </c>
      <c r="V56" t="e">
        <f>AND(#REF!,"AAAAAEv9/xU=")</f>
        <v>#REF!</v>
      </c>
      <c r="W56" t="e">
        <f>AND(#REF!,"AAAAAEv9/xY=")</f>
        <v>#REF!</v>
      </c>
      <c r="X56" t="e">
        <f>AND(#REF!,"AAAAAEv9/xc=")</f>
        <v>#REF!</v>
      </c>
      <c r="Y56" t="e">
        <f>AND(#REF!,"AAAAAEv9/xg=")</f>
        <v>#REF!</v>
      </c>
      <c r="Z56" t="e">
        <f>AND(#REF!,"AAAAAEv9/xk=")</f>
        <v>#REF!</v>
      </c>
      <c r="AA56" t="e">
        <f>AND(#REF!,"AAAAAEv9/xo=")</f>
        <v>#REF!</v>
      </c>
      <c r="AB56" t="e">
        <f>AND(#REF!,"AAAAAEv9/xs=")</f>
        <v>#REF!</v>
      </c>
      <c r="AC56" t="e">
        <f>AND(#REF!,"AAAAAEv9/xw=")</f>
        <v>#REF!</v>
      </c>
      <c r="AD56" t="e">
        <f>AND(#REF!,"AAAAAEv9/x0=")</f>
        <v>#REF!</v>
      </c>
      <c r="AE56" t="e">
        <f>AND(#REF!,"AAAAAEv9/x4=")</f>
        <v>#REF!</v>
      </c>
      <c r="AF56" t="e">
        <f>AND(#REF!,"AAAAAEv9/x8=")</f>
        <v>#REF!</v>
      </c>
      <c r="AG56" t="e">
        <f>AND(#REF!,"AAAAAEv9/yA=")</f>
        <v>#REF!</v>
      </c>
      <c r="AH56" t="e">
        <f>AND(#REF!,"AAAAAEv9/yE=")</f>
        <v>#REF!</v>
      </c>
      <c r="AI56" t="e">
        <f>AND(#REF!,"AAAAAEv9/yI=")</f>
        <v>#REF!</v>
      </c>
      <c r="AJ56" t="e">
        <f>AND(#REF!,"AAAAAEv9/yM=")</f>
        <v>#REF!</v>
      </c>
      <c r="AK56" t="e">
        <f>AND(#REF!,"AAAAAEv9/yQ=")</f>
        <v>#REF!</v>
      </c>
      <c r="AL56" t="e">
        <f>IF(#REF!,"AAAAAEv9/yU=",0)</f>
        <v>#REF!</v>
      </c>
      <c r="AM56" t="e">
        <f>AND(#REF!,"AAAAAEv9/yY=")</f>
        <v>#REF!</v>
      </c>
      <c r="AN56" t="e">
        <f>AND(#REF!,"AAAAAEv9/yc=")</f>
        <v>#REF!</v>
      </c>
      <c r="AO56" t="e">
        <f>AND(#REF!,"AAAAAEv9/yg=")</f>
        <v>#REF!</v>
      </c>
      <c r="AP56" t="e">
        <f>AND(#REF!,"AAAAAEv9/yk=")</f>
        <v>#REF!</v>
      </c>
      <c r="AQ56" t="e">
        <f>AND(#REF!,"AAAAAEv9/yo=")</f>
        <v>#REF!</v>
      </c>
      <c r="AR56" t="e">
        <f>AND(#REF!,"AAAAAEv9/ys=")</f>
        <v>#REF!</v>
      </c>
      <c r="AS56" t="e">
        <f>AND(#REF!,"AAAAAEv9/yw=")</f>
        <v>#REF!</v>
      </c>
      <c r="AT56" t="e">
        <f>AND(#REF!,"AAAAAEv9/y0=")</f>
        <v>#REF!</v>
      </c>
      <c r="AU56" t="e">
        <f>AND(#REF!,"AAAAAEv9/y4=")</f>
        <v>#REF!</v>
      </c>
      <c r="AV56" t="e">
        <f>AND(#REF!,"AAAAAEv9/y8=")</f>
        <v>#REF!</v>
      </c>
      <c r="AW56" t="e">
        <f>AND(#REF!,"AAAAAEv9/zA=")</f>
        <v>#REF!</v>
      </c>
      <c r="AX56" t="e">
        <f>AND(#REF!,"AAAAAEv9/zE=")</f>
        <v>#REF!</v>
      </c>
      <c r="AY56" t="e">
        <f>AND(#REF!,"AAAAAEv9/zI=")</f>
        <v>#REF!</v>
      </c>
      <c r="AZ56" t="e">
        <f>AND(#REF!,"AAAAAEv9/zM=")</f>
        <v>#REF!</v>
      </c>
      <c r="BA56" t="e">
        <f>AND(#REF!,"AAAAAEv9/zQ=")</f>
        <v>#REF!</v>
      </c>
      <c r="BB56" t="e">
        <f>AND(#REF!,"AAAAAEv9/zU=")</f>
        <v>#REF!</v>
      </c>
      <c r="BC56" t="e">
        <f>AND(#REF!,"AAAAAEv9/zY=")</f>
        <v>#REF!</v>
      </c>
      <c r="BD56" t="e">
        <f>AND(#REF!,"AAAAAEv9/zc=")</f>
        <v>#REF!</v>
      </c>
      <c r="BE56" t="e">
        <f>AND(#REF!,"AAAAAEv9/zg=")</f>
        <v>#REF!</v>
      </c>
      <c r="BF56" t="e">
        <f>AND(#REF!,"AAAAAEv9/zk=")</f>
        <v>#REF!</v>
      </c>
      <c r="BG56" t="e">
        <f>AND(#REF!,"AAAAAEv9/zo=")</f>
        <v>#REF!</v>
      </c>
      <c r="BH56" t="e">
        <f>AND(#REF!,"AAAAAEv9/zs=")</f>
        <v>#REF!</v>
      </c>
      <c r="BI56" t="e">
        <f>AND(#REF!,"AAAAAEv9/zw=")</f>
        <v>#REF!</v>
      </c>
      <c r="BJ56" t="e">
        <f>IF(#REF!,"AAAAAEv9/z0=",0)</f>
        <v>#REF!</v>
      </c>
      <c r="BK56" t="e">
        <f>AND(#REF!,"AAAAAEv9/z4=")</f>
        <v>#REF!</v>
      </c>
      <c r="BL56" t="e">
        <f>AND(#REF!,"AAAAAEv9/z8=")</f>
        <v>#REF!</v>
      </c>
      <c r="BM56" t="e">
        <f>AND(#REF!,"AAAAAEv9/0A=")</f>
        <v>#REF!</v>
      </c>
      <c r="BN56" t="e">
        <f>AND(#REF!,"AAAAAEv9/0E=")</f>
        <v>#REF!</v>
      </c>
      <c r="BO56" t="e">
        <f>AND(#REF!,"AAAAAEv9/0I=")</f>
        <v>#REF!</v>
      </c>
      <c r="BP56" t="e">
        <f>AND(#REF!,"AAAAAEv9/0M=")</f>
        <v>#REF!</v>
      </c>
      <c r="BQ56" t="e">
        <f>AND(#REF!,"AAAAAEv9/0Q=")</f>
        <v>#REF!</v>
      </c>
      <c r="BR56" t="e">
        <f>AND(#REF!,"AAAAAEv9/0U=")</f>
        <v>#REF!</v>
      </c>
      <c r="BS56" t="e">
        <f>AND(#REF!,"AAAAAEv9/0Y=")</f>
        <v>#REF!</v>
      </c>
      <c r="BT56" t="e">
        <f>AND(#REF!,"AAAAAEv9/0c=")</f>
        <v>#REF!</v>
      </c>
      <c r="BU56" t="e">
        <f>AND(#REF!,"AAAAAEv9/0g=")</f>
        <v>#REF!</v>
      </c>
      <c r="BV56" t="e">
        <f>AND(#REF!,"AAAAAEv9/0k=")</f>
        <v>#REF!</v>
      </c>
      <c r="BW56" t="e">
        <f>AND(#REF!,"AAAAAEv9/0o=")</f>
        <v>#REF!</v>
      </c>
      <c r="BX56" t="e">
        <f>AND(#REF!,"AAAAAEv9/0s=")</f>
        <v>#REF!</v>
      </c>
      <c r="BY56" t="e">
        <f>AND(#REF!,"AAAAAEv9/0w=")</f>
        <v>#REF!</v>
      </c>
      <c r="BZ56" t="e">
        <f>AND(#REF!,"AAAAAEv9/00=")</f>
        <v>#REF!</v>
      </c>
      <c r="CA56" t="e">
        <f>AND(#REF!,"AAAAAEv9/04=")</f>
        <v>#REF!</v>
      </c>
      <c r="CB56" t="e">
        <f>AND(#REF!,"AAAAAEv9/08=")</f>
        <v>#REF!</v>
      </c>
      <c r="CC56" t="e">
        <f>AND(#REF!,"AAAAAEv9/1A=")</f>
        <v>#REF!</v>
      </c>
      <c r="CD56" t="e">
        <f>AND(#REF!,"AAAAAEv9/1E=")</f>
        <v>#REF!</v>
      </c>
      <c r="CE56" t="e">
        <f>AND(#REF!,"AAAAAEv9/1I=")</f>
        <v>#REF!</v>
      </c>
      <c r="CF56" t="e">
        <f>AND(#REF!,"AAAAAEv9/1M=")</f>
        <v>#REF!</v>
      </c>
      <c r="CG56" t="e">
        <f>AND(#REF!,"AAAAAEv9/1Q=")</f>
        <v>#REF!</v>
      </c>
      <c r="CH56" t="e">
        <f>IF(#REF!,"AAAAAEv9/1U=",0)</f>
        <v>#REF!</v>
      </c>
      <c r="CI56" t="e">
        <f>AND(#REF!,"AAAAAEv9/1Y=")</f>
        <v>#REF!</v>
      </c>
      <c r="CJ56" t="e">
        <f>AND(#REF!,"AAAAAEv9/1c=")</f>
        <v>#REF!</v>
      </c>
      <c r="CK56" t="e">
        <f>AND(#REF!,"AAAAAEv9/1g=")</f>
        <v>#REF!</v>
      </c>
      <c r="CL56" t="e">
        <f>AND(#REF!,"AAAAAEv9/1k=")</f>
        <v>#REF!</v>
      </c>
      <c r="CM56" t="e">
        <f>AND(#REF!,"AAAAAEv9/1o=")</f>
        <v>#REF!</v>
      </c>
      <c r="CN56" t="e">
        <f>AND(#REF!,"AAAAAEv9/1s=")</f>
        <v>#REF!</v>
      </c>
      <c r="CO56" t="e">
        <f>AND(#REF!,"AAAAAEv9/1w=")</f>
        <v>#REF!</v>
      </c>
      <c r="CP56" t="e">
        <f>AND(#REF!,"AAAAAEv9/10=")</f>
        <v>#REF!</v>
      </c>
      <c r="CQ56" t="e">
        <f>AND(#REF!,"AAAAAEv9/14=")</f>
        <v>#REF!</v>
      </c>
      <c r="CR56" t="e">
        <f>AND(#REF!,"AAAAAEv9/18=")</f>
        <v>#REF!</v>
      </c>
      <c r="CS56" t="e">
        <f>AND(#REF!,"AAAAAEv9/2A=")</f>
        <v>#REF!</v>
      </c>
      <c r="CT56" t="e">
        <f>AND(#REF!,"AAAAAEv9/2E=")</f>
        <v>#REF!</v>
      </c>
      <c r="CU56" t="e">
        <f>AND(#REF!,"AAAAAEv9/2I=")</f>
        <v>#REF!</v>
      </c>
      <c r="CV56" t="e">
        <f>AND(#REF!,"AAAAAEv9/2M=")</f>
        <v>#REF!</v>
      </c>
      <c r="CW56" t="e">
        <f>AND(#REF!,"AAAAAEv9/2Q=")</f>
        <v>#REF!</v>
      </c>
      <c r="CX56" t="e">
        <f>AND(#REF!,"AAAAAEv9/2U=")</f>
        <v>#REF!</v>
      </c>
      <c r="CY56" t="e">
        <f>AND(#REF!,"AAAAAEv9/2Y=")</f>
        <v>#REF!</v>
      </c>
      <c r="CZ56" t="e">
        <f>AND(#REF!,"AAAAAEv9/2c=")</f>
        <v>#REF!</v>
      </c>
      <c r="DA56" t="e">
        <f>AND(#REF!,"AAAAAEv9/2g=")</f>
        <v>#REF!</v>
      </c>
      <c r="DB56" t="e">
        <f>AND(#REF!,"AAAAAEv9/2k=")</f>
        <v>#REF!</v>
      </c>
      <c r="DC56" t="e">
        <f>AND(#REF!,"AAAAAEv9/2o=")</f>
        <v>#REF!</v>
      </c>
      <c r="DD56" t="e">
        <f>AND(#REF!,"AAAAAEv9/2s=")</f>
        <v>#REF!</v>
      </c>
      <c r="DE56" t="e">
        <f>AND(#REF!,"AAAAAEv9/2w=")</f>
        <v>#REF!</v>
      </c>
      <c r="DF56" t="e">
        <f>IF(#REF!,"AAAAAEv9/20=",0)</f>
        <v>#REF!</v>
      </c>
      <c r="DG56" t="e">
        <f>AND(#REF!,"AAAAAEv9/24=")</f>
        <v>#REF!</v>
      </c>
      <c r="DH56" t="e">
        <f>AND(#REF!,"AAAAAEv9/28=")</f>
        <v>#REF!</v>
      </c>
      <c r="DI56" t="e">
        <f>AND(#REF!,"AAAAAEv9/3A=")</f>
        <v>#REF!</v>
      </c>
      <c r="DJ56" t="e">
        <f>AND(#REF!,"AAAAAEv9/3E=")</f>
        <v>#REF!</v>
      </c>
      <c r="DK56" t="e">
        <f>AND(#REF!,"AAAAAEv9/3I=")</f>
        <v>#REF!</v>
      </c>
      <c r="DL56" t="e">
        <f>AND(#REF!,"AAAAAEv9/3M=")</f>
        <v>#REF!</v>
      </c>
      <c r="DM56" t="e">
        <f>AND(#REF!,"AAAAAEv9/3Q=")</f>
        <v>#REF!</v>
      </c>
      <c r="DN56" t="e">
        <f>AND(#REF!,"AAAAAEv9/3U=")</f>
        <v>#REF!</v>
      </c>
      <c r="DO56" t="e">
        <f>AND(#REF!,"AAAAAEv9/3Y=")</f>
        <v>#REF!</v>
      </c>
      <c r="DP56" t="e">
        <f>AND(#REF!,"AAAAAEv9/3c=")</f>
        <v>#REF!</v>
      </c>
      <c r="DQ56" t="e">
        <f>AND(#REF!,"AAAAAEv9/3g=")</f>
        <v>#REF!</v>
      </c>
      <c r="DR56" t="e">
        <f>AND(#REF!,"AAAAAEv9/3k=")</f>
        <v>#REF!</v>
      </c>
      <c r="DS56" t="e">
        <f>AND(#REF!,"AAAAAEv9/3o=")</f>
        <v>#REF!</v>
      </c>
      <c r="DT56" t="e">
        <f>AND(#REF!,"AAAAAEv9/3s=")</f>
        <v>#REF!</v>
      </c>
      <c r="DU56" t="e">
        <f>AND(#REF!,"AAAAAEv9/3w=")</f>
        <v>#REF!</v>
      </c>
      <c r="DV56" t="e">
        <f>AND(#REF!,"AAAAAEv9/30=")</f>
        <v>#REF!</v>
      </c>
      <c r="DW56" t="e">
        <f>AND(#REF!,"AAAAAEv9/34=")</f>
        <v>#REF!</v>
      </c>
      <c r="DX56" t="e">
        <f>AND(#REF!,"AAAAAEv9/38=")</f>
        <v>#REF!</v>
      </c>
      <c r="DY56" t="e">
        <f>AND(#REF!,"AAAAAEv9/4A=")</f>
        <v>#REF!</v>
      </c>
      <c r="DZ56" t="e">
        <f>AND(#REF!,"AAAAAEv9/4E=")</f>
        <v>#REF!</v>
      </c>
      <c r="EA56" t="e">
        <f>AND(#REF!,"AAAAAEv9/4I=")</f>
        <v>#REF!</v>
      </c>
      <c r="EB56" t="e">
        <f>AND(#REF!,"AAAAAEv9/4M=")</f>
        <v>#REF!</v>
      </c>
      <c r="EC56" t="e">
        <f>AND(#REF!,"AAAAAEv9/4Q=")</f>
        <v>#REF!</v>
      </c>
      <c r="ED56" t="e">
        <f>IF(#REF!,"AAAAAEv9/4U=",0)</f>
        <v>#REF!</v>
      </c>
      <c r="EE56" t="e">
        <f>AND(#REF!,"AAAAAEv9/4Y=")</f>
        <v>#REF!</v>
      </c>
      <c r="EF56" t="e">
        <f>AND(#REF!,"AAAAAEv9/4c=")</f>
        <v>#REF!</v>
      </c>
      <c r="EG56" t="e">
        <f>AND(#REF!,"AAAAAEv9/4g=")</f>
        <v>#REF!</v>
      </c>
      <c r="EH56" t="e">
        <f>AND(#REF!,"AAAAAEv9/4k=")</f>
        <v>#REF!</v>
      </c>
      <c r="EI56" t="e">
        <f>AND(#REF!,"AAAAAEv9/4o=")</f>
        <v>#REF!</v>
      </c>
      <c r="EJ56" t="e">
        <f>AND(#REF!,"AAAAAEv9/4s=")</f>
        <v>#REF!</v>
      </c>
      <c r="EK56" t="e">
        <f>AND(#REF!,"AAAAAEv9/4w=")</f>
        <v>#REF!</v>
      </c>
      <c r="EL56" t="e">
        <f>AND(#REF!,"AAAAAEv9/40=")</f>
        <v>#REF!</v>
      </c>
      <c r="EM56" t="e">
        <f>AND(#REF!,"AAAAAEv9/44=")</f>
        <v>#REF!</v>
      </c>
      <c r="EN56" t="e">
        <f>AND(#REF!,"AAAAAEv9/48=")</f>
        <v>#REF!</v>
      </c>
      <c r="EO56" t="e">
        <f>AND(#REF!,"AAAAAEv9/5A=")</f>
        <v>#REF!</v>
      </c>
      <c r="EP56" t="e">
        <f>AND(#REF!,"AAAAAEv9/5E=")</f>
        <v>#REF!</v>
      </c>
      <c r="EQ56" t="e">
        <f>AND(#REF!,"AAAAAEv9/5I=")</f>
        <v>#REF!</v>
      </c>
      <c r="ER56" t="e">
        <f>AND(#REF!,"AAAAAEv9/5M=")</f>
        <v>#REF!</v>
      </c>
      <c r="ES56" t="e">
        <f>AND(#REF!,"AAAAAEv9/5Q=")</f>
        <v>#REF!</v>
      </c>
      <c r="ET56" t="e">
        <f>AND(#REF!,"AAAAAEv9/5U=")</f>
        <v>#REF!</v>
      </c>
      <c r="EU56" t="e">
        <f>AND(#REF!,"AAAAAEv9/5Y=")</f>
        <v>#REF!</v>
      </c>
      <c r="EV56" t="e">
        <f>AND(#REF!,"AAAAAEv9/5c=")</f>
        <v>#REF!</v>
      </c>
      <c r="EW56" t="e">
        <f>AND(#REF!,"AAAAAEv9/5g=")</f>
        <v>#REF!</v>
      </c>
      <c r="EX56" t="e">
        <f>AND(#REF!,"AAAAAEv9/5k=")</f>
        <v>#REF!</v>
      </c>
      <c r="EY56" t="e">
        <f>AND(#REF!,"AAAAAEv9/5o=")</f>
        <v>#REF!</v>
      </c>
      <c r="EZ56" t="e">
        <f>AND(#REF!,"AAAAAEv9/5s=")</f>
        <v>#REF!</v>
      </c>
      <c r="FA56" t="e">
        <f>AND(#REF!,"AAAAAEv9/5w=")</f>
        <v>#REF!</v>
      </c>
      <c r="FB56" t="e">
        <f>IF(#REF!,"AAAAAEv9/50=",0)</f>
        <v>#REF!</v>
      </c>
      <c r="FC56" t="e">
        <f>AND(#REF!,"AAAAAEv9/54=")</f>
        <v>#REF!</v>
      </c>
      <c r="FD56" t="e">
        <f>AND(#REF!,"AAAAAEv9/58=")</f>
        <v>#REF!</v>
      </c>
      <c r="FE56" t="e">
        <f>AND(#REF!,"AAAAAEv9/6A=")</f>
        <v>#REF!</v>
      </c>
      <c r="FF56" t="e">
        <f>AND(#REF!,"AAAAAEv9/6E=")</f>
        <v>#REF!</v>
      </c>
      <c r="FG56" t="e">
        <f>AND(#REF!,"AAAAAEv9/6I=")</f>
        <v>#REF!</v>
      </c>
      <c r="FH56" t="e">
        <f>AND(#REF!,"AAAAAEv9/6M=")</f>
        <v>#REF!</v>
      </c>
      <c r="FI56" t="e">
        <f>AND(#REF!,"AAAAAEv9/6Q=")</f>
        <v>#REF!</v>
      </c>
      <c r="FJ56" t="e">
        <f>AND(#REF!,"AAAAAEv9/6U=")</f>
        <v>#REF!</v>
      </c>
      <c r="FK56" t="e">
        <f>AND(#REF!,"AAAAAEv9/6Y=")</f>
        <v>#REF!</v>
      </c>
      <c r="FL56" t="e">
        <f>AND(#REF!,"AAAAAEv9/6c=")</f>
        <v>#REF!</v>
      </c>
      <c r="FM56" t="e">
        <f>AND(#REF!,"AAAAAEv9/6g=")</f>
        <v>#REF!</v>
      </c>
      <c r="FN56" t="e">
        <f>AND(#REF!,"AAAAAEv9/6k=")</f>
        <v>#REF!</v>
      </c>
      <c r="FO56" t="e">
        <f>AND(#REF!,"AAAAAEv9/6o=")</f>
        <v>#REF!</v>
      </c>
      <c r="FP56" t="e">
        <f>AND(#REF!,"AAAAAEv9/6s=")</f>
        <v>#REF!</v>
      </c>
      <c r="FQ56" t="e">
        <f>AND(#REF!,"AAAAAEv9/6w=")</f>
        <v>#REF!</v>
      </c>
      <c r="FR56" t="e">
        <f>AND(#REF!,"AAAAAEv9/60=")</f>
        <v>#REF!</v>
      </c>
      <c r="FS56" t="e">
        <f>AND(#REF!,"AAAAAEv9/64=")</f>
        <v>#REF!</v>
      </c>
      <c r="FT56" t="e">
        <f>AND(#REF!,"AAAAAEv9/68=")</f>
        <v>#REF!</v>
      </c>
      <c r="FU56" t="e">
        <f>AND(#REF!,"AAAAAEv9/7A=")</f>
        <v>#REF!</v>
      </c>
      <c r="FV56" t="e">
        <f>AND(#REF!,"AAAAAEv9/7E=")</f>
        <v>#REF!</v>
      </c>
      <c r="FW56" t="e">
        <f>AND(#REF!,"AAAAAEv9/7I=")</f>
        <v>#REF!</v>
      </c>
      <c r="FX56" t="e">
        <f>AND(#REF!,"AAAAAEv9/7M=")</f>
        <v>#REF!</v>
      </c>
      <c r="FY56" t="e">
        <f>AND(#REF!,"AAAAAEv9/7Q=")</f>
        <v>#REF!</v>
      </c>
      <c r="FZ56" t="e">
        <f>IF(#REF!,"AAAAAEv9/7U=",0)</f>
        <v>#REF!</v>
      </c>
      <c r="GA56" t="e">
        <f>AND(#REF!,"AAAAAEv9/7Y=")</f>
        <v>#REF!</v>
      </c>
      <c r="GB56" t="e">
        <f>AND(#REF!,"AAAAAEv9/7c=")</f>
        <v>#REF!</v>
      </c>
      <c r="GC56" t="e">
        <f>AND(#REF!,"AAAAAEv9/7g=")</f>
        <v>#REF!</v>
      </c>
      <c r="GD56" t="e">
        <f>AND(#REF!,"AAAAAEv9/7k=")</f>
        <v>#REF!</v>
      </c>
      <c r="GE56" t="e">
        <f>AND(#REF!,"AAAAAEv9/7o=")</f>
        <v>#REF!</v>
      </c>
      <c r="GF56" t="e">
        <f>AND(#REF!,"AAAAAEv9/7s=")</f>
        <v>#REF!</v>
      </c>
      <c r="GG56" t="e">
        <f>AND(#REF!,"AAAAAEv9/7w=")</f>
        <v>#REF!</v>
      </c>
      <c r="GH56" t="e">
        <f>AND(#REF!,"AAAAAEv9/70=")</f>
        <v>#REF!</v>
      </c>
      <c r="GI56" t="e">
        <f>AND(#REF!,"AAAAAEv9/74=")</f>
        <v>#REF!</v>
      </c>
      <c r="GJ56" t="e">
        <f>AND(#REF!,"AAAAAEv9/78=")</f>
        <v>#REF!</v>
      </c>
      <c r="GK56" t="e">
        <f>AND(#REF!,"AAAAAEv9/8A=")</f>
        <v>#REF!</v>
      </c>
      <c r="GL56" t="e">
        <f>AND(#REF!,"AAAAAEv9/8E=")</f>
        <v>#REF!</v>
      </c>
      <c r="GM56" t="e">
        <f>AND(#REF!,"AAAAAEv9/8I=")</f>
        <v>#REF!</v>
      </c>
      <c r="GN56" t="e">
        <f>AND(#REF!,"AAAAAEv9/8M=")</f>
        <v>#REF!</v>
      </c>
      <c r="GO56" t="e">
        <f>AND(#REF!,"AAAAAEv9/8Q=")</f>
        <v>#REF!</v>
      </c>
      <c r="GP56" t="e">
        <f>AND(#REF!,"AAAAAEv9/8U=")</f>
        <v>#REF!</v>
      </c>
      <c r="GQ56" t="e">
        <f>AND(#REF!,"AAAAAEv9/8Y=")</f>
        <v>#REF!</v>
      </c>
      <c r="GR56" t="e">
        <f>AND(#REF!,"AAAAAEv9/8c=")</f>
        <v>#REF!</v>
      </c>
      <c r="GS56" t="e">
        <f>AND(#REF!,"AAAAAEv9/8g=")</f>
        <v>#REF!</v>
      </c>
      <c r="GT56" t="e">
        <f>AND(#REF!,"AAAAAEv9/8k=")</f>
        <v>#REF!</v>
      </c>
      <c r="GU56" t="e">
        <f>AND(#REF!,"AAAAAEv9/8o=")</f>
        <v>#REF!</v>
      </c>
      <c r="GV56" t="e">
        <f>AND(#REF!,"AAAAAEv9/8s=")</f>
        <v>#REF!</v>
      </c>
      <c r="GW56" t="e">
        <f>AND(#REF!,"AAAAAEv9/8w=")</f>
        <v>#REF!</v>
      </c>
      <c r="GX56" t="e">
        <f>IF(#REF!,"AAAAAEv9/80=",0)</f>
        <v>#REF!</v>
      </c>
      <c r="GY56" t="e">
        <f>AND(#REF!,"AAAAAEv9/84=")</f>
        <v>#REF!</v>
      </c>
      <c r="GZ56" t="e">
        <f>AND(#REF!,"AAAAAEv9/88=")</f>
        <v>#REF!</v>
      </c>
      <c r="HA56" t="e">
        <f>AND(#REF!,"AAAAAEv9/9A=")</f>
        <v>#REF!</v>
      </c>
      <c r="HB56" t="e">
        <f>AND(#REF!,"AAAAAEv9/9E=")</f>
        <v>#REF!</v>
      </c>
      <c r="HC56" t="e">
        <f>AND(#REF!,"AAAAAEv9/9I=")</f>
        <v>#REF!</v>
      </c>
      <c r="HD56" t="e">
        <f>AND(#REF!,"AAAAAEv9/9M=")</f>
        <v>#REF!</v>
      </c>
      <c r="HE56" t="e">
        <f>AND(#REF!,"AAAAAEv9/9Q=")</f>
        <v>#REF!</v>
      </c>
      <c r="HF56" t="e">
        <f>AND(#REF!,"AAAAAEv9/9U=")</f>
        <v>#REF!</v>
      </c>
      <c r="HG56" t="e">
        <f>AND(#REF!,"AAAAAEv9/9Y=")</f>
        <v>#REF!</v>
      </c>
      <c r="HH56" t="e">
        <f>AND(#REF!,"AAAAAEv9/9c=")</f>
        <v>#REF!</v>
      </c>
      <c r="HI56" t="e">
        <f>AND(#REF!,"AAAAAEv9/9g=")</f>
        <v>#REF!</v>
      </c>
      <c r="HJ56" t="e">
        <f>AND(#REF!,"AAAAAEv9/9k=")</f>
        <v>#REF!</v>
      </c>
      <c r="HK56" t="e">
        <f>AND(#REF!,"AAAAAEv9/9o=")</f>
        <v>#REF!</v>
      </c>
      <c r="HL56" t="e">
        <f>AND(#REF!,"AAAAAEv9/9s=")</f>
        <v>#REF!</v>
      </c>
      <c r="HM56" t="e">
        <f>AND(#REF!,"AAAAAEv9/9w=")</f>
        <v>#REF!</v>
      </c>
      <c r="HN56" t="e">
        <f>AND(#REF!,"AAAAAEv9/90=")</f>
        <v>#REF!</v>
      </c>
      <c r="HO56" t="e">
        <f>AND(#REF!,"AAAAAEv9/94=")</f>
        <v>#REF!</v>
      </c>
      <c r="HP56" t="e">
        <f>AND(#REF!,"AAAAAEv9/98=")</f>
        <v>#REF!</v>
      </c>
      <c r="HQ56" t="e">
        <f>AND(#REF!,"AAAAAEv9/+A=")</f>
        <v>#REF!</v>
      </c>
      <c r="HR56" t="e">
        <f>AND(#REF!,"AAAAAEv9/+E=")</f>
        <v>#REF!</v>
      </c>
      <c r="HS56" t="e">
        <f>AND(#REF!,"AAAAAEv9/+I=")</f>
        <v>#REF!</v>
      </c>
      <c r="HT56" t="e">
        <f>AND(#REF!,"AAAAAEv9/+M=")</f>
        <v>#REF!</v>
      </c>
      <c r="HU56" t="e">
        <f>AND(#REF!,"AAAAAEv9/+Q=")</f>
        <v>#REF!</v>
      </c>
      <c r="HV56" t="e">
        <f>IF(#REF!,"AAAAAEv9/+U=",0)</f>
        <v>#REF!</v>
      </c>
      <c r="HW56" t="e">
        <f>AND(#REF!,"AAAAAEv9/+Y=")</f>
        <v>#REF!</v>
      </c>
      <c r="HX56" t="e">
        <f>AND(#REF!,"AAAAAEv9/+c=")</f>
        <v>#REF!</v>
      </c>
      <c r="HY56" t="e">
        <f>AND(#REF!,"AAAAAEv9/+g=")</f>
        <v>#REF!</v>
      </c>
      <c r="HZ56" t="e">
        <f>AND(#REF!,"AAAAAEv9/+k=")</f>
        <v>#REF!</v>
      </c>
      <c r="IA56" t="e">
        <f>AND(#REF!,"AAAAAEv9/+o=")</f>
        <v>#REF!</v>
      </c>
      <c r="IB56" t="e">
        <f>AND(#REF!,"AAAAAEv9/+s=")</f>
        <v>#REF!</v>
      </c>
      <c r="IC56" t="e">
        <f>AND(#REF!,"AAAAAEv9/+w=")</f>
        <v>#REF!</v>
      </c>
      <c r="ID56" t="e">
        <f>AND(#REF!,"AAAAAEv9/+0=")</f>
        <v>#REF!</v>
      </c>
      <c r="IE56" t="e">
        <f>AND(#REF!,"AAAAAEv9/+4=")</f>
        <v>#REF!</v>
      </c>
      <c r="IF56" t="e">
        <f>AND(#REF!,"AAAAAEv9/+8=")</f>
        <v>#REF!</v>
      </c>
      <c r="IG56" t="e">
        <f>AND(#REF!,"AAAAAEv9//A=")</f>
        <v>#REF!</v>
      </c>
      <c r="IH56" t="e">
        <f>AND(#REF!,"AAAAAEv9//E=")</f>
        <v>#REF!</v>
      </c>
      <c r="II56" t="e">
        <f>AND(#REF!,"AAAAAEv9//I=")</f>
        <v>#REF!</v>
      </c>
      <c r="IJ56" t="e">
        <f>AND(#REF!,"AAAAAEv9//M=")</f>
        <v>#REF!</v>
      </c>
      <c r="IK56" t="e">
        <f>AND(#REF!,"AAAAAEv9//Q=")</f>
        <v>#REF!</v>
      </c>
      <c r="IL56" t="e">
        <f>AND(#REF!,"AAAAAEv9//U=")</f>
        <v>#REF!</v>
      </c>
      <c r="IM56" t="e">
        <f>AND(#REF!,"AAAAAEv9//Y=")</f>
        <v>#REF!</v>
      </c>
      <c r="IN56" t="e">
        <f>AND(#REF!,"AAAAAEv9//c=")</f>
        <v>#REF!</v>
      </c>
      <c r="IO56" t="e">
        <f>AND(#REF!,"AAAAAEv9//g=")</f>
        <v>#REF!</v>
      </c>
      <c r="IP56" t="e">
        <f>AND(#REF!,"AAAAAEv9//k=")</f>
        <v>#REF!</v>
      </c>
      <c r="IQ56" t="e">
        <f>AND(#REF!,"AAAAAEv9//o=")</f>
        <v>#REF!</v>
      </c>
      <c r="IR56" t="e">
        <f>AND(#REF!,"AAAAAEv9//s=")</f>
        <v>#REF!</v>
      </c>
      <c r="IS56" t="e">
        <f>AND(#REF!,"AAAAAEv9//w=")</f>
        <v>#REF!</v>
      </c>
      <c r="IT56" t="e">
        <f>IF(#REF!,"AAAAAEv9//0=",0)</f>
        <v>#REF!</v>
      </c>
      <c r="IU56" t="e">
        <f>AND(#REF!,"AAAAAEv9//4=")</f>
        <v>#REF!</v>
      </c>
      <c r="IV56" t="e">
        <f>AND(#REF!,"AAAAAEv9//8=")</f>
        <v>#REF!</v>
      </c>
    </row>
    <row r="57" spans="1:256" x14ac:dyDescent="0.15">
      <c r="A57" t="e">
        <f>AND(#REF!,"AAAAAG8/fwA=")</f>
        <v>#REF!</v>
      </c>
      <c r="B57" t="e">
        <f>AND(#REF!,"AAAAAG8/fwE=")</f>
        <v>#REF!</v>
      </c>
      <c r="C57" t="e">
        <f>AND(#REF!,"AAAAAG8/fwI=")</f>
        <v>#REF!</v>
      </c>
      <c r="D57" t="e">
        <f>AND(#REF!,"AAAAAG8/fwM=")</f>
        <v>#REF!</v>
      </c>
      <c r="E57" t="e">
        <f>AND(#REF!,"AAAAAG8/fwQ=")</f>
        <v>#REF!</v>
      </c>
      <c r="F57" t="e">
        <f>AND(#REF!,"AAAAAG8/fwU=")</f>
        <v>#REF!</v>
      </c>
      <c r="G57" t="e">
        <f>AND(#REF!,"AAAAAG8/fwY=")</f>
        <v>#REF!</v>
      </c>
      <c r="H57" t="e">
        <f>AND(#REF!,"AAAAAG8/fwc=")</f>
        <v>#REF!</v>
      </c>
      <c r="I57" t="e">
        <f>AND(#REF!,"AAAAAG8/fwg=")</f>
        <v>#REF!</v>
      </c>
      <c r="J57" t="e">
        <f>AND(#REF!,"AAAAAG8/fwk=")</f>
        <v>#REF!</v>
      </c>
      <c r="K57" t="e">
        <f>AND(#REF!,"AAAAAG8/fwo=")</f>
        <v>#REF!</v>
      </c>
      <c r="L57" t="e">
        <f>AND(#REF!,"AAAAAG8/fws=")</f>
        <v>#REF!</v>
      </c>
      <c r="M57" t="e">
        <f>AND(#REF!,"AAAAAG8/fww=")</f>
        <v>#REF!</v>
      </c>
      <c r="N57" t="e">
        <f>AND(#REF!,"AAAAAG8/fw0=")</f>
        <v>#REF!</v>
      </c>
      <c r="O57" t="e">
        <f>AND(#REF!,"AAAAAG8/fw4=")</f>
        <v>#REF!</v>
      </c>
      <c r="P57" t="e">
        <f>AND(#REF!,"AAAAAG8/fw8=")</f>
        <v>#REF!</v>
      </c>
      <c r="Q57" t="e">
        <f>AND(#REF!,"AAAAAG8/fxA=")</f>
        <v>#REF!</v>
      </c>
      <c r="R57" t="e">
        <f>AND(#REF!,"AAAAAG8/fxE=")</f>
        <v>#REF!</v>
      </c>
      <c r="S57" t="e">
        <f>AND(#REF!,"AAAAAG8/fxI=")</f>
        <v>#REF!</v>
      </c>
      <c r="T57" t="e">
        <f>AND(#REF!,"AAAAAG8/fxM=")</f>
        <v>#REF!</v>
      </c>
      <c r="U57" t="e">
        <f>AND(#REF!,"AAAAAG8/fxQ=")</f>
        <v>#REF!</v>
      </c>
      <c r="V57" t="e">
        <f>IF(#REF!,"AAAAAG8/fxU=",0)</f>
        <v>#REF!</v>
      </c>
      <c r="W57" t="e">
        <f>AND(#REF!,"AAAAAG8/fxY=")</f>
        <v>#REF!</v>
      </c>
      <c r="X57" t="e">
        <f>AND(#REF!,"AAAAAG8/fxc=")</f>
        <v>#REF!</v>
      </c>
      <c r="Y57" t="e">
        <f>AND(#REF!,"AAAAAG8/fxg=")</f>
        <v>#REF!</v>
      </c>
      <c r="Z57" t="e">
        <f>AND(#REF!,"AAAAAG8/fxk=")</f>
        <v>#REF!</v>
      </c>
      <c r="AA57" t="e">
        <f>AND(#REF!,"AAAAAG8/fxo=")</f>
        <v>#REF!</v>
      </c>
      <c r="AB57" t="e">
        <f>AND(#REF!,"AAAAAG8/fxs=")</f>
        <v>#REF!</v>
      </c>
      <c r="AC57" t="e">
        <f>AND(#REF!,"AAAAAG8/fxw=")</f>
        <v>#REF!</v>
      </c>
      <c r="AD57" t="e">
        <f>AND(#REF!,"AAAAAG8/fx0=")</f>
        <v>#REF!</v>
      </c>
      <c r="AE57" t="e">
        <f>AND(#REF!,"AAAAAG8/fx4=")</f>
        <v>#REF!</v>
      </c>
      <c r="AF57" t="e">
        <f>AND(#REF!,"AAAAAG8/fx8=")</f>
        <v>#REF!</v>
      </c>
      <c r="AG57" t="e">
        <f>AND(#REF!,"AAAAAG8/fyA=")</f>
        <v>#REF!</v>
      </c>
      <c r="AH57" t="e">
        <f>AND(#REF!,"AAAAAG8/fyE=")</f>
        <v>#REF!</v>
      </c>
      <c r="AI57" t="e">
        <f>AND(#REF!,"AAAAAG8/fyI=")</f>
        <v>#REF!</v>
      </c>
      <c r="AJ57" t="e">
        <f>AND(#REF!,"AAAAAG8/fyM=")</f>
        <v>#REF!</v>
      </c>
      <c r="AK57" t="e">
        <f>AND(#REF!,"AAAAAG8/fyQ=")</f>
        <v>#REF!</v>
      </c>
      <c r="AL57" t="e">
        <f>AND(#REF!,"AAAAAG8/fyU=")</f>
        <v>#REF!</v>
      </c>
      <c r="AM57" t="e">
        <f>AND(#REF!,"AAAAAG8/fyY=")</f>
        <v>#REF!</v>
      </c>
      <c r="AN57" t="e">
        <f>AND(#REF!,"AAAAAG8/fyc=")</f>
        <v>#REF!</v>
      </c>
      <c r="AO57" t="e">
        <f>AND(#REF!,"AAAAAG8/fyg=")</f>
        <v>#REF!</v>
      </c>
      <c r="AP57" t="e">
        <f>AND(#REF!,"AAAAAG8/fyk=")</f>
        <v>#REF!</v>
      </c>
      <c r="AQ57" t="e">
        <f>AND(#REF!,"AAAAAG8/fyo=")</f>
        <v>#REF!</v>
      </c>
      <c r="AR57" t="e">
        <f>AND(#REF!,"AAAAAG8/fys=")</f>
        <v>#REF!</v>
      </c>
      <c r="AS57" t="e">
        <f>AND(#REF!,"AAAAAG8/fyw=")</f>
        <v>#REF!</v>
      </c>
      <c r="AT57" t="e">
        <f>IF(#REF!,"AAAAAG8/fy0=",0)</f>
        <v>#REF!</v>
      </c>
      <c r="AU57" t="e">
        <f>AND(#REF!,"AAAAAG8/fy4=")</f>
        <v>#REF!</v>
      </c>
      <c r="AV57" t="e">
        <f>AND(#REF!,"AAAAAG8/fy8=")</f>
        <v>#REF!</v>
      </c>
      <c r="AW57" t="e">
        <f>AND(#REF!,"AAAAAG8/fzA=")</f>
        <v>#REF!</v>
      </c>
      <c r="AX57" t="e">
        <f>AND(#REF!,"AAAAAG8/fzE=")</f>
        <v>#REF!</v>
      </c>
      <c r="AY57" t="e">
        <f>AND(#REF!,"AAAAAG8/fzI=")</f>
        <v>#REF!</v>
      </c>
      <c r="AZ57" t="e">
        <f>AND(#REF!,"AAAAAG8/fzM=")</f>
        <v>#REF!</v>
      </c>
      <c r="BA57" t="e">
        <f>AND(#REF!,"AAAAAG8/fzQ=")</f>
        <v>#REF!</v>
      </c>
      <c r="BB57" t="e">
        <f>AND(#REF!,"AAAAAG8/fzU=")</f>
        <v>#REF!</v>
      </c>
      <c r="BC57" t="e">
        <f>AND(#REF!,"AAAAAG8/fzY=")</f>
        <v>#REF!</v>
      </c>
      <c r="BD57" t="e">
        <f>AND(#REF!,"AAAAAG8/fzc=")</f>
        <v>#REF!</v>
      </c>
      <c r="BE57" t="e">
        <f>AND(#REF!,"AAAAAG8/fzg=")</f>
        <v>#REF!</v>
      </c>
      <c r="BF57" t="e">
        <f>AND(#REF!,"AAAAAG8/fzk=")</f>
        <v>#REF!</v>
      </c>
      <c r="BG57" t="e">
        <f>AND(#REF!,"AAAAAG8/fzo=")</f>
        <v>#REF!</v>
      </c>
      <c r="BH57" t="e">
        <f>AND(#REF!,"AAAAAG8/fzs=")</f>
        <v>#REF!</v>
      </c>
      <c r="BI57" t="e">
        <f>AND(#REF!,"AAAAAG8/fzw=")</f>
        <v>#REF!</v>
      </c>
      <c r="BJ57" t="e">
        <f>AND(#REF!,"AAAAAG8/fz0=")</f>
        <v>#REF!</v>
      </c>
      <c r="BK57" t="e">
        <f>AND(#REF!,"AAAAAG8/fz4=")</f>
        <v>#REF!</v>
      </c>
      <c r="BL57" t="e">
        <f>AND(#REF!,"AAAAAG8/fz8=")</f>
        <v>#REF!</v>
      </c>
      <c r="BM57" t="e">
        <f>AND(#REF!,"AAAAAG8/f0A=")</f>
        <v>#REF!</v>
      </c>
      <c r="BN57" t="e">
        <f>AND(#REF!,"AAAAAG8/f0E=")</f>
        <v>#REF!</v>
      </c>
      <c r="BO57" t="e">
        <f>AND(#REF!,"AAAAAG8/f0I=")</f>
        <v>#REF!</v>
      </c>
      <c r="BP57" t="e">
        <f>AND(#REF!,"AAAAAG8/f0M=")</f>
        <v>#REF!</v>
      </c>
      <c r="BQ57" t="e">
        <f>AND(#REF!,"AAAAAG8/f0Q=")</f>
        <v>#REF!</v>
      </c>
      <c r="BR57" t="e">
        <f>IF(#REF!,"AAAAAG8/f0U=",0)</f>
        <v>#REF!</v>
      </c>
      <c r="BS57" t="e">
        <f>AND(#REF!,"AAAAAG8/f0Y=")</f>
        <v>#REF!</v>
      </c>
      <c r="BT57" t="e">
        <f>AND(#REF!,"AAAAAG8/f0c=")</f>
        <v>#REF!</v>
      </c>
      <c r="BU57" t="e">
        <f>AND(#REF!,"AAAAAG8/f0g=")</f>
        <v>#REF!</v>
      </c>
      <c r="BV57" t="e">
        <f>AND(#REF!,"AAAAAG8/f0k=")</f>
        <v>#REF!</v>
      </c>
      <c r="BW57" t="e">
        <f>AND(#REF!,"AAAAAG8/f0o=")</f>
        <v>#REF!</v>
      </c>
      <c r="BX57" t="e">
        <f>AND(#REF!,"AAAAAG8/f0s=")</f>
        <v>#REF!</v>
      </c>
      <c r="BY57" t="e">
        <f>AND(#REF!,"AAAAAG8/f0w=")</f>
        <v>#REF!</v>
      </c>
      <c r="BZ57" t="e">
        <f>AND(#REF!,"AAAAAG8/f00=")</f>
        <v>#REF!</v>
      </c>
      <c r="CA57" t="e">
        <f>AND(#REF!,"AAAAAG8/f04=")</f>
        <v>#REF!</v>
      </c>
      <c r="CB57" t="e">
        <f>AND(#REF!,"AAAAAG8/f08=")</f>
        <v>#REF!</v>
      </c>
      <c r="CC57" t="e">
        <f>AND(#REF!,"AAAAAG8/f1A=")</f>
        <v>#REF!</v>
      </c>
      <c r="CD57" t="e">
        <f>AND(#REF!,"AAAAAG8/f1E=")</f>
        <v>#REF!</v>
      </c>
      <c r="CE57" t="e">
        <f>AND(#REF!,"AAAAAG8/f1I=")</f>
        <v>#REF!</v>
      </c>
      <c r="CF57" t="e">
        <f>AND(#REF!,"AAAAAG8/f1M=")</f>
        <v>#REF!</v>
      </c>
      <c r="CG57" t="e">
        <f>AND(#REF!,"AAAAAG8/f1Q=")</f>
        <v>#REF!</v>
      </c>
      <c r="CH57" t="e">
        <f>AND(#REF!,"AAAAAG8/f1U=")</f>
        <v>#REF!</v>
      </c>
      <c r="CI57" t="e">
        <f>AND(#REF!,"AAAAAG8/f1Y=")</f>
        <v>#REF!</v>
      </c>
      <c r="CJ57" t="e">
        <f>AND(#REF!,"AAAAAG8/f1c=")</f>
        <v>#REF!</v>
      </c>
      <c r="CK57" t="e">
        <f>AND(#REF!,"AAAAAG8/f1g=")</f>
        <v>#REF!</v>
      </c>
      <c r="CL57" t="e">
        <f>AND(#REF!,"AAAAAG8/f1k=")</f>
        <v>#REF!</v>
      </c>
      <c r="CM57" t="e">
        <f>AND(#REF!,"AAAAAG8/f1o=")</f>
        <v>#REF!</v>
      </c>
      <c r="CN57" t="e">
        <f>AND(#REF!,"AAAAAG8/f1s=")</f>
        <v>#REF!</v>
      </c>
      <c r="CO57" t="e">
        <f>AND(#REF!,"AAAAAG8/f1w=")</f>
        <v>#REF!</v>
      </c>
      <c r="CP57" t="e">
        <f>IF(#REF!,"AAAAAG8/f10=",0)</f>
        <v>#REF!</v>
      </c>
      <c r="CQ57" t="e">
        <f>AND(#REF!,"AAAAAG8/f14=")</f>
        <v>#REF!</v>
      </c>
      <c r="CR57" t="e">
        <f>AND(#REF!,"AAAAAG8/f18=")</f>
        <v>#REF!</v>
      </c>
      <c r="CS57" t="e">
        <f>AND(#REF!,"AAAAAG8/f2A=")</f>
        <v>#REF!</v>
      </c>
      <c r="CT57" t="e">
        <f>AND(#REF!,"AAAAAG8/f2E=")</f>
        <v>#REF!</v>
      </c>
      <c r="CU57" t="e">
        <f>AND(#REF!,"AAAAAG8/f2I=")</f>
        <v>#REF!</v>
      </c>
      <c r="CV57" t="e">
        <f>AND(#REF!,"AAAAAG8/f2M=")</f>
        <v>#REF!</v>
      </c>
      <c r="CW57" t="e">
        <f>AND(#REF!,"AAAAAG8/f2Q=")</f>
        <v>#REF!</v>
      </c>
      <c r="CX57" t="e">
        <f>AND(#REF!,"AAAAAG8/f2U=")</f>
        <v>#REF!</v>
      </c>
      <c r="CY57" t="e">
        <f>AND(#REF!,"AAAAAG8/f2Y=")</f>
        <v>#REF!</v>
      </c>
      <c r="CZ57" t="e">
        <f>AND(#REF!,"AAAAAG8/f2c=")</f>
        <v>#REF!</v>
      </c>
      <c r="DA57" t="e">
        <f>AND(#REF!,"AAAAAG8/f2g=")</f>
        <v>#REF!</v>
      </c>
      <c r="DB57" t="e">
        <f>AND(#REF!,"AAAAAG8/f2k=")</f>
        <v>#REF!</v>
      </c>
      <c r="DC57" t="e">
        <f>AND(#REF!,"AAAAAG8/f2o=")</f>
        <v>#REF!</v>
      </c>
      <c r="DD57" t="e">
        <f>AND(#REF!,"AAAAAG8/f2s=")</f>
        <v>#REF!</v>
      </c>
      <c r="DE57" t="e">
        <f>AND(#REF!,"AAAAAG8/f2w=")</f>
        <v>#REF!</v>
      </c>
      <c r="DF57" t="e">
        <f>AND(#REF!,"AAAAAG8/f20=")</f>
        <v>#REF!</v>
      </c>
      <c r="DG57" t="e">
        <f>AND(#REF!,"AAAAAG8/f24=")</f>
        <v>#REF!</v>
      </c>
      <c r="DH57" t="e">
        <f>AND(#REF!,"AAAAAG8/f28=")</f>
        <v>#REF!</v>
      </c>
      <c r="DI57" t="e">
        <f>AND(#REF!,"AAAAAG8/f3A=")</f>
        <v>#REF!</v>
      </c>
      <c r="DJ57" t="e">
        <f>AND(#REF!,"AAAAAG8/f3E=")</f>
        <v>#REF!</v>
      </c>
      <c r="DK57" t="e">
        <f>AND(#REF!,"AAAAAG8/f3I=")</f>
        <v>#REF!</v>
      </c>
      <c r="DL57" t="e">
        <f>AND(#REF!,"AAAAAG8/f3M=")</f>
        <v>#REF!</v>
      </c>
      <c r="DM57" t="e">
        <f>AND(#REF!,"AAAAAG8/f3Q=")</f>
        <v>#REF!</v>
      </c>
      <c r="DN57" t="e">
        <f>IF(#REF!,"AAAAAG8/f3U=",0)</f>
        <v>#REF!</v>
      </c>
      <c r="DO57" t="e">
        <f>AND(#REF!,"AAAAAG8/f3Y=")</f>
        <v>#REF!</v>
      </c>
      <c r="DP57" t="e">
        <f>AND(#REF!,"AAAAAG8/f3c=")</f>
        <v>#REF!</v>
      </c>
      <c r="DQ57" t="e">
        <f>AND(#REF!,"AAAAAG8/f3g=")</f>
        <v>#REF!</v>
      </c>
      <c r="DR57" t="e">
        <f>AND(#REF!,"AAAAAG8/f3k=")</f>
        <v>#REF!</v>
      </c>
      <c r="DS57" t="e">
        <f>AND(#REF!,"AAAAAG8/f3o=")</f>
        <v>#REF!</v>
      </c>
      <c r="DT57" t="e">
        <f>AND(#REF!,"AAAAAG8/f3s=")</f>
        <v>#REF!</v>
      </c>
      <c r="DU57" t="e">
        <f>AND(#REF!,"AAAAAG8/f3w=")</f>
        <v>#REF!</v>
      </c>
      <c r="DV57" t="e">
        <f>AND(#REF!,"AAAAAG8/f30=")</f>
        <v>#REF!</v>
      </c>
      <c r="DW57" t="e">
        <f>AND(#REF!,"AAAAAG8/f34=")</f>
        <v>#REF!</v>
      </c>
      <c r="DX57" t="e">
        <f>AND(#REF!,"AAAAAG8/f38=")</f>
        <v>#REF!</v>
      </c>
      <c r="DY57" t="e">
        <f>AND(#REF!,"AAAAAG8/f4A=")</f>
        <v>#REF!</v>
      </c>
      <c r="DZ57" t="e">
        <f>AND(#REF!,"AAAAAG8/f4E=")</f>
        <v>#REF!</v>
      </c>
      <c r="EA57" t="e">
        <f>AND(#REF!,"AAAAAG8/f4I=")</f>
        <v>#REF!</v>
      </c>
      <c r="EB57" t="e">
        <f>AND(#REF!,"AAAAAG8/f4M=")</f>
        <v>#REF!</v>
      </c>
      <c r="EC57" t="e">
        <f>AND(#REF!,"AAAAAG8/f4Q=")</f>
        <v>#REF!</v>
      </c>
      <c r="ED57" t="e">
        <f>AND(#REF!,"AAAAAG8/f4U=")</f>
        <v>#REF!</v>
      </c>
      <c r="EE57" t="e">
        <f>AND(#REF!,"AAAAAG8/f4Y=")</f>
        <v>#REF!</v>
      </c>
      <c r="EF57" t="e">
        <f>AND(#REF!,"AAAAAG8/f4c=")</f>
        <v>#REF!</v>
      </c>
      <c r="EG57" t="e">
        <f>AND(#REF!,"AAAAAG8/f4g=")</f>
        <v>#REF!</v>
      </c>
      <c r="EH57" t="e">
        <f>AND(#REF!,"AAAAAG8/f4k=")</f>
        <v>#REF!</v>
      </c>
      <c r="EI57" t="e">
        <f>AND(#REF!,"AAAAAG8/f4o=")</f>
        <v>#REF!</v>
      </c>
      <c r="EJ57" t="e">
        <f>AND(#REF!,"AAAAAG8/f4s=")</f>
        <v>#REF!</v>
      </c>
      <c r="EK57" t="e">
        <f>AND(#REF!,"AAAAAG8/f4w=")</f>
        <v>#REF!</v>
      </c>
      <c r="EL57" t="e">
        <f>IF(#REF!,"AAAAAG8/f40=",0)</f>
        <v>#REF!</v>
      </c>
      <c r="EM57" t="e">
        <f>AND(#REF!,"AAAAAG8/f44=")</f>
        <v>#REF!</v>
      </c>
      <c r="EN57" t="e">
        <f>AND(#REF!,"AAAAAG8/f48=")</f>
        <v>#REF!</v>
      </c>
      <c r="EO57" t="e">
        <f>AND(#REF!,"AAAAAG8/f5A=")</f>
        <v>#REF!</v>
      </c>
      <c r="EP57" t="e">
        <f>AND(#REF!,"AAAAAG8/f5E=")</f>
        <v>#REF!</v>
      </c>
      <c r="EQ57" t="e">
        <f>AND(#REF!,"AAAAAG8/f5I=")</f>
        <v>#REF!</v>
      </c>
      <c r="ER57" t="e">
        <f>AND(#REF!,"AAAAAG8/f5M=")</f>
        <v>#REF!</v>
      </c>
      <c r="ES57" t="e">
        <f>AND(#REF!,"AAAAAG8/f5Q=")</f>
        <v>#REF!</v>
      </c>
      <c r="ET57" t="e">
        <f>AND(#REF!,"AAAAAG8/f5U=")</f>
        <v>#REF!</v>
      </c>
      <c r="EU57" t="e">
        <f>AND(#REF!,"AAAAAG8/f5Y=")</f>
        <v>#REF!</v>
      </c>
      <c r="EV57" t="e">
        <f>AND(#REF!,"AAAAAG8/f5c=")</f>
        <v>#REF!</v>
      </c>
      <c r="EW57" t="e">
        <f>AND(#REF!,"AAAAAG8/f5g=")</f>
        <v>#REF!</v>
      </c>
      <c r="EX57" t="e">
        <f>AND(#REF!,"AAAAAG8/f5k=")</f>
        <v>#REF!</v>
      </c>
      <c r="EY57" t="e">
        <f>AND(#REF!,"AAAAAG8/f5o=")</f>
        <v>#REF!</v>
      </c>
      <c r="EZ57" t="e">
        <f>AND(#REF!,"AAAAAG8/f5s=")</f>
        <v>#REF!</v>
      </c>
      <c r="FA57" t="e">
        <f>AND(#REF!,"AAAAAG8/f5w=")</f>
        <v>#REF!</v>
      </c>
      <c r="FB57" t="e">
        <f>AND(#REF!,"AAAAAG8/f50=")</f>
        <v>#REF!</v>
      </c>
      <c r="FC57" t="e">
        <f>AND(#REF!,"AAAAAG8/f54=")</f>
        <v>#REF!</v>
      </c>
      <c r="FD57" t="e">
        <f>AND(#REF!,"AAAAAG8/f58=")</f>
        <v>#REF!</v>
      </c>
      <c r="FE57" t="e">
        <f>AND(#REF!,"AAAAAG8/f6A=")</f>
        <v>#REF!</v>
      </c>
      <c r="FF57" t="e">
        <f>AND(#REF!,"AAAAAG8/f6E=")</f>
        <v>#REF!</v>
      </c>
      <c r="FG57" t="e">
        <f>AND(#REF!,"AAAAAG8/f6I=")</f>
        <v>#REF!</v>
      </c>
      <c r="FH57" t="e">
        <f>AND(#REF!,"AAAAAG8/f6M=")</f>
        <v>#REF!</v>
      </c>
      <c r="FI57" t="e">
        <f>AND(#REF!,"AAAAAG8/f6Q=")</f>
        <v>#REF!</v>
      </c>
      <c r="FJ57" t="e">
        <f>IF(#REF!,"AAAAAG8/f6U=",0)</f>
        <v>#REF!</v>
      </c>
      <c r="FK57" t="e">
        <f>AND(#REF!,"AAAAAG8/f6Y=")</f>
        <v>#REF!</v>
      </c>
      <c r="FL57" t="e">
        <f>AND(#REF!,"AAAAAG8/f6c=")</f>
        <v>#REF!</v>
      </c>
      <c r="FM57" t="e">
        <f>AND(#REF!,"AAAAAG8/f6g=")</f>
        <v>#REF!</v>
      </c>
      <c r="FN57" t="e">
        <f>AND(#REF!,"AAAAAG8/f6k=")</f>
        <v>#REF!</v>
      </c>
      <c r="FO57" t="e">
        <f>AND(#REF!,"AAAAAG8/f6o=")</f>
        <v>#REF!</v>
      </c>
      <c r="FP57" t="e">
        <f>AND(#REF!,"AAAAAG8/f6s=")</f>
        <v>#REF!</v>
      </c>
      <c r="FQ57" t="e">
        <f>AND(#REF!,"AAAAAG8/f6w=")</f>
        <v>#REF!</v>
      </c>
      <c r="FR57" t="e">
        <f>AND(#REF!,"AAAAAG8/f60=")</f>
        <v>#REF!</v>
      </c>
      <c r="FS57" t="e">
        <f>AND(#REF!,"AAAAAG8/f64=")</f>
        <v>#REF!</v>
      </c>
      <c r="FT57" t="e">
        <f>AND(#REF!,"AAAAAG8/f68=")</f>
        <v>#REF!</v>
      </c>
      <c r="FU57" t="e">
        <f>AND(#REF!,"AAAAAG8/f7A=")</f>
        <v>#REF!</v>
      </c>
      <c r="FV57" t="e">
        <f>AND(#REF!,"AAAAAG8/f7E=")</f>
        <v>#REF!</v>
      </c>
      <c r="FW57" t="e">
        <f>AND(#REF!,"AAAAAG8/f7I=")</f>
        <v>#REF!</v>
      </c>
      <c r="FX57" t="e">
        <f>AND(#REF!,"AAAAAG8/f7M=")</f>
        <v>#REF!</v>
      </c>
      <c r="FY57" t="e">
        <f>AND(#REF!,"AAAAAG8/f7Q=")</f>
        <v>#REF!</v>
      </c>
      <c r="FZ57" t="e">
        <f>AND(#REF!,"AAAAAG8/f7U=")</f>
        <v>#REF!</v>
      </c>
      <c r="GA57" t="e">
        <f>AND(#REF!,"AAAAAG8/f7Y=")</f>
        <v>#REF!</v>
      </c>
      <c r="GB57" t="e">
        <f>AND(#REF!,"AAAAAG8/f7c=")</f>
        <v>#REF!</v>
      </c>
      <c r="GC57" t="e">
        <f>AND(#REF!,"AAAAAG8/f7g=")</f>
        <v>#REF!</v>
      </c>
      <c r="GD57" t="e">
        <f>AND(#REF!,"AAAAAG8/f7k=")</f>
        <v>#REF!</v>
      </c>
      <c r="GE57" t="e">
        <f>AND(#REF!,"AAAAAG8/f7o=")</f>
        <v>#REF!</v>
      </c>
      <c r="GF57" t="e">
        <f>AND(#REF!,"AAAAAG8/f7s=")</f>
        <v>#REF!</v>
      </c>
      <c r="GG57" t="e">
        <f>AND(#REF!,"AAAAAG8/f7w=")</f>
        <v>#REF!</v>
      </c>
      <c r="GH57" t="e">
        <f>IF(#REF!,"AAAAAG8/f70=",0)</f>
        <v>#REF!</v>
      </c>
      <c r="GI57" t="e">
        <f>AND(#REF!,"AAAAAG8/f74=")</f>
        <v>#REF!</v>
      </c>
      <c r="GJ57" t="e">
        <f>AND(#REF!,"AAAAAG8/f78=")</f>
        <v>#REF!</v>
      </c>
      <c r="GK57" t="e">
        <f>AND(#REF!,"AAAAAG8/f8A=")</f>
        <v>#REF!</v>
      </c>
      <c r="GL57" t="e">
        <f>AND(#REF!,"AAAAAG8/f8E=")</f>
        <v>#REF!</v>
      </c>
      <c r="GM57" t="e">
        <f>AND(#REF!,"AAAAAG8/f8I=")</f>
        <v>#REF!</v>
      </c>
      <c r="GN57" t="e">
        <f>AND(#REF!,"AAAAAG8/f8M=")</f>
        <v>#REF!</v>
      </c>
      <c r="GO57" t="e">
        <f>AND(#REF!,"AAAAAG8/f8Q=")</f>
        <v>#REF!</v>
      </c>
      <c r="GP57" t="e">
        <f>AND(#REF!,"AAAAAG8/f8U=")</f>
        <v>#REF!</v>
      </c>
      <c r="GQ57" t="e">
        <f>AND(#REF!,"AAAAAG8/f8Y=")</f>
        <v>#REF!</v>
      </c>
      <c r="GR57" t="e">
        <f>AND(#REF!,"AAAAAG8/f8c=")</f>
        <v>#REF!</v>
      </c>
      <c r="GS57" t="e">
        <f>AND(#REF!,"AAAAAG8/f8g=")</f>
        <v>#REF!</v>
      </c>
      <c r="GT57" t="e">
        <f>AND(#REF!,"AAAAAG8/f8k=")</f>
        <v>#REF!</v>
      </c>
      <c r="GU57" t="e">
        <f>AND(#REF!,"AAAAAG8/f8o=")</f>
        <v>#REF!</v>
      </c>
      <c r="GV57" t="e">
        <f>AND(#REF!,"AAAAAG8/f8s=")</f>
        <v>#REF!</v>
      </c>
      <c r="GW57" t="e">
        <f>AND(#REF!,"AAAAAG8/f8w=")</f>
        <v>#REF!</v>
      </c>
      <c r="GX57" t="e">
        <f>AND(#REF!,"AAAAAG8/f80=")</f>
        <v>#REF!</v>
      </c>
      <c r="GY57" t="e">
        <f>AND(#REF!,"AAAAAG8/f84=")</f>
        <v>#REF!</v>
      </c>
      <c r="GZ57" t="e">
        <f>AND(#REF!,"AAAAAG8/f88=")</f>
        <v>#REF!</v>
      </c>
      <c r="HA57" t="e">
        <f>AND(#REF!,"AAAAAG8/f9A=")</f>
        <v>#REF!</v>
      </c>
      <c r="HB57" t="e">
        <f>AND(#REF!,"AAAAAG8/f9E=")</f>
        <v>#REF!</v>
      </c>
      <c r="HC57" t="e">
        <f>AND(#REF!,"AAAAAG8/f9I=")</f>
        <v>#REF!</v>
      </c>
      <c r="HD57" t="e">
        <f>AND(#REF!,"AAAAAG8/f9M=")</f>
        <v>#REF!</v>
      </c>
      <c r="HE57" t="e">
        <f>AND(#REF!,"AAAAAG8/f9Q=")</f>
        <v>#REF!</v>
      </c>
      <c r="HF57" t="e">
        <f>IF(#REF!,"AAAAAG8/f9U=",0)</f>
        <v>#REF!</v>
      </c>
      <c r="HG57" t="e">
        <f>AND(#REF!,"AAAAAG8/f9Y=")</f>
        <v>#REF!</v>
      </c>
      <c r="HH57" t="e">
        <f>AND(#REF!,"AAAAAG8/f9c=")</f>
        <v>#REF!</v>
      </c>
      <c r="HI57" t="e">
        <f>AND(#REF!,"AAAAAG8/f9g=")</f>
        <v>#REF!</v>
      </c>
      <c r="HJ57" t="e">
        <f>AND(#REF!,"AAAAAG8/f9k=")</f>
        <v>#REF!</v>
      </c>
      <c r="HK57" t="e">
        <f>AND(#REF!,"AAAAAG8/f9o=")</f>
        <v>#REF!</v>
      </c>
      <c r="HL57" t="e">
        <f>AND(#REF!,"AAAAAG8/f9s=")</f>
        <v>#REF!</v>
      </c>
      <c r="HM57" t="e">
        <f>AND(#REF!,"AAAAAG8/f9w=")</f>
        <v>#REF!</v>
      </c>
      <c r="HN57" t="e">
        <f>AND(#REF!,"AAAAAG8/f90=")</f>
        <v>#REF!</v>
      </c>
      <c r="HO57" t="e">
        <f>AND(#REF!,"AAAAAG8/f94=")</f>
        <v>#REF!</v>
      </c>
      <c r="HP57" t="e">
        <f>AND(#REF!,"AAAAAG8/f98=")</f>
        <v>#REF!</v>
      </c>
      <c r="HQ57" t="e">
        <f>AND(#REF!,"AAAAAG8/f+A=")</f>
        <v>#REF!</v>
      </c>
      <c r="HR57" t="e">
        <f>AND(#REF!,"AAAAAG8/f+E=")</f>
        <v>#REF!</v>
      </c>
      <c r="HS57" t="e">
        <f>AND(#REF!,"AAAAAG8/f+I=")</f>
        <v>#REF!</v>
      </c>
      <c r="HT57" t="e">
        <f>AND(#REF!,"AAAAAG8/f+M=")</f>
        <v>#REF!</v>
      </c>
      <c r="HU57" t="e">
        <f>AND(#REF!,"AAAAAG8/f+Q=")</f>
        <v>#REF!</v>
      </c>
      <c r="HV57" t="e">
        <f>AND(#REF!,"AAAAAG8/f+U=")</f>
        <v>#REF!</v>
      </c>
      <c r="HW57" t="e">
        <f>AND(#REF!,"AAAAAG8/f+Y=")</f>
        <v>#REF!</v>
      </c>
      <c r="HX57" t="e">
        <f>AND(#REF!,"AAAAAG8/f+c=")</f>
        <v>#REF!</v>
      </c>
      <c r="HY57" t="e">
        <f>AND(#REF!,"AAAAAG8/f+g=")</f>
        <v>#REF!</v>
      </c>
      <c r="HZ57" t="e">
        <f>AND(#REF!,"AAAAAG8/f+k=")</f>
        <v>#REF!</v>
      </c>
      <c r="IA57" t="e">
        <f>AND(#REF!,"AAAAAG8/f+o=")</f>
        <v>#REF!</v>
      </c>
      <c r="IB57" t="e">
        <f>AND(#REF!,"AAAAAG8/f+s=")</f>
        <v>#REF!</v>
      </c>
      <c r="IC57" t="e">
        <f>AND(#REF!,"AAAAAG8/f+w=")</f>
        <v>#REF!</v>
      </c>
      <c r="ID57" t="e">
        <f>IF(#REF!,"AAAAAG8/f+0=",0)</f>
        <v>#REF!</v>
      </c>
      <c r="IE57" t="e">
        <f>AND(#REF!,"AAAAAG8/f+4=")</f>
        <v>#REF!</v>
      </c>
      <c r="IF57" t="e">
        <f>AND(#REF!,"AAAAAG8/f+8=")</f>
        <v>#REF!</v>
      </c>
      <c r="IG57" t="e">
        <f>AND(#REF!,"AAAAAG8/f/A=")</f>
        <v>#REF!</v>
      </c>
      <c r="IH57" t="e">
        <f>AND(#REF!,"AAAAAG8/f/E=")</f>
        <v>#REF!</v>
      </c>
      <c r="II57" t="e">
        <f>AND(#REF!,"AAAAAG8/f/I=")</f>
        <v>#REF!</v>
      </c>
      <c r="IJ57" t="e">
        <f>AND(#REF!,"AAAAAG8/f/M=")</f>
        <v>#REF!</v>
      </c>
      <c r="IK57" t="e">
        <f>AND(#REF!,"AAAAAG8/f/Q=")</f>
        <v>#REF!</v>
      </c>
      <c r="IL57" t="e">
        <f>AND(#REF!,"AAAAAG8/f/U=")</f>
        <v>#REF!</v>
      </c>
      <c r="IM57" t="e">
        <f>AND(#REF!,"AAAAAG8/f/Y=")</f>
        <v>#REF!</v>
      </c>
      <c r="IN57" t="e">
        <f>AND(#REF!,"AAAAAG8/f/c=")</f>
        <v>#REF!</v>
      </c>
      <c r="IO57" t="e">
        <f>AND(#REF!,"AAAAAG8/f/g=")</f>
        <v>#REF!</v>
      </c>
      <c r="IP57" t="e">
        <f>AND(#REF!,"AAAAAG8/f/k=")</f>
        <v>#REF!</v>
      </c>
      <c r="IQ57" t="e">
        <f>AND(#REF!,"AAAAAG8/f/o=")</f>
        <v>#REF!</v>
      </c>
      <c r="IR57" t="e">
        <f>AND(#REF!,"AAAAAG8/f/s=")</f>
        <v>#REF!</v>
      </c>
      <c r="IS57" t="e">
        <f>AND(#REF!,"AAAAAG8/f/w=")</f>
        <v>#REF!</v>
      </c>
      <c r="IT57" t="e">
        <f>AND(#REF!,"AAAAAG8/f/0=")</f>
        <v>#REF!</v>
      </c>
      <c r="IU57" t="e">
        <f>AND(#REF!,"AAAAAG8/f/4=")</f>
        <v>#REF!</v>
      </c>
      <c r="IV57" t="e">
        <f>AND(#REF!,"AAAAAG8/f/8=")</f>
        <v>#REF!</v>
      </c>
    </row>
    <row r="58" spans="1:256" x14ac:dyDescent="0.15">
      <c r="A58" t="e">
        <f>AND(#REF!,"AAAAAHl37wA=")</f>
        <v>#REF!</v>
      </c>
      <c r="B58" t="e">
        <f>AND(#REF!,"AAAAAHl37wE=")</f>
        <v>#REF!</v>
      </c>
      <c r="C58" t="e">
        <f>AND(#REF!,"AAAAAHl37wI=")</f>
        <v>#REF!</v>
      </c>
      <c r="D58" t="e">
        <f>AND(#REF!,"AAAAAHl37wM=")</f>
        <v>#REF!</v>
      </c>
      <c r="E58" t="e">
        <f>AND(#REF!,"AAAAAHl37wQ=")</f>
        <v>#REF!</v>
      </c>
      <c r="F58" t="e">
        <f>IF(#REF!,"AAAAAHl37wU=",0)</f>
        <v>#REF!</v>
      </c>
      <c r="G58" t="e">
        <f>AND(#REF!,"AAAAAHl37wY=")</f>
        <v>#REF!</v>
      </c>
      <c r="H58" t="e">
        <f>AND(#REF!,"AAAAAHl37wc=")</f>
        <v>#REF!</v>
      </c>
      <c r="I58" t="e">
        <f>AND(#REF!,"AAAAAHl37wg=")</f>
        <v>#REF!</v>
      </c>
      <c r="J58" t="e">
        <f>AND(#REF!,"AAAAAHl37wk=")</f>
        <v>#REF!</v>
      </c>
      <c r="K58" t="e">
        <f>AND(#REF!,"AAAAAHl37wo=")</f>
        <v>#REF!</v>
      </c>
      <c r="L58" t="e">
        <f>AND(#REF!,"AAAAAHl37ws=")</f>
        <v>#REF!</v>
      </c>
      <c r="M58" t="e">
        <f>AND(#REF!,"AAAAAHl37ww=")</f>
        <v>#REF!</v>
      </c>
      <c r="N58" t="e">
        <f>AND(#REF!,"AAAAAHl37w0=")</f>
        <v>#REF!</v>
      </c>
      <c r="O58" t="e">
        <f>AND(#REF!,"AAAAAHl37w4=")</f>
        <v>#REF!</v>
      </c>
      <c r="P58" t="e">
        <f>AND(#REF!,"AAAAAHl37w8=")</f>
        <v>#REF!</v>
      </c>
      <c r="Q58" t="e">
        <f>AND(#REF!,"AAAAAHl37xA=")</f>
        <v>#REF!</v>
      </c>
      <c r="R58" t="e">
        <f>AND(#REF!,"AAAAAHl37xE=")</f>
        <v>#REF!</v>
      </c>
      <c r="S58" t="e">
        <f>AND(#REF!,"AAAAAHl37xI=")</f>
        <v>#REF!</v>
      </c>
      <c r="T58" t="e">
        <f>AND(#REF!,"AAAAAHl37xM=")</f>
        <v>#REF!</v>
      </c>
      <c r="U58" t="e">
        <f>AND(#REF!,"AAAAAHl37xQ=")</f>
        <v>#REF!</v>
      </c>
      <c r="V58" t="e">
        <f>AND(#REF!,"AAAAAHl37xU=")</f>
        <v>#REF!</v>
      </c>
      <c r="W58" t="e">
        <f>AND(#REF!,"AAAAAHl37xY=")</f>
        <v>#REF!</v>
      </c>
      <c r="X58" t="e">
        <f>AND(#REF!,"AAAAAHl37xc=")</f>
        <v>#REF!</v>
      </c>
      <c r="Y58" t="e">
        <f>AND(#REF!,"AAAAAHl37xg=")</f>
        <v>#REF!</v>
      </c>
      <c r="Z58" t="e">
        <f>AND(#REF!,"AAAAAHl37xk=")</f>
        <v>#REF!</v>
      </c>
      <c r="AA58" t="e">
        <f>AND(#REF!,"AAAAAHl37xo=")</f>
        <v>#REF!</v>
      </c>
      <c r="AB58" t="e">
        <f>AND(#REF!,"AAAAAHl37xs=")</f>
        <v>#REF!</v>
      </c>
      <c r="AC58" t="e">
        <f>AND(#REF!,"AAAAAHl37xw=")</f>
        <v>#REF!</v>
      </c>
      <c r="AD58" t="e">
        <f>IF(#REF!,"AAAAAHl37x0=",0)</f>
        <v>#REF!</v>
      </c>
      <c r="AE58" t="e">
        <f>AND(#REF!,"AAAAAHl37x4=")</f>
        <v>#REF!</v>
      </c>
      <c r="AF58" t="e">
        <f>AND(#REF!,"AAAAAHl37x8=")</f>
        <v>#REF!</v>
      </c>
      <c r="AG58" t="e">
        <f>AND(#REF!,"AAAAAHl37yA=")</f>
        <v>#REF!</v>
      </c>
      <c r="AH58" t="e">
        <f>AND(#REF!,"AAAAAHl37yE=")</f>
        <v>#REF!</v>
      </c>
      <c r="AI58" t="e">
        <f>AND(#REF!,"AAAAAHl37yI=")</f>
        <v>#REF!</v>
      </c>
      <c r="AJ58" t="e">
        <f>AND(#REF!,"AAAAAHl37yM=")</f>
        <v>#REF!</v>
      </c>
      <c r="AK58" t="e">
        <f>AND(#REF!,"AAAAAHl37yQ=")</f>
        <v>#REF!</v>
      </c>
      <c r="AL58" t="e">
        <f>AND(#REF!,"AAAAAHl37yU=")</f>
        <v>#REF!</v>
      </c>
      <c r="AM58" t="e">
        <f>AND(#REF!,"AAAAAHl37yY=")</f>
        <v>#REF!</v>
      </c>
      <c r="AN58" t="e">
        <f>AND(#REF!,"AAAAAHl37yc=")</f>
        <v>#REF!</v>
      </c>
      <c r="AO58" t="e">
        <f>AND(#REF!,"AAAAAHl37yg=")</f>
        <v>#REF!</v>
      </c>
      <c r="AP58" t="e">
        <f>AND(#REF!,"AAAAAHl37yk=")</f>
        <v>#REF!</v>
      </c>
      <c r="AQ58" t="e">
        <f>AND(#REF!,"AAAAAHl37yo=")</f>
        <v>#REF!</v>
      </c>
      <c r="AR58" t="e">
        <f>AND(#REF!,"AAAAAHl37ys=")</f>
        <v>#REF!</v>
      </c>
      <c r="AS58" t="e">
        <f>AND(#REF!,"AAAAAHl37yw=")</f>
        <v>#REF!</v>
      </c>
      <c r="AT58" t="e">
        <f>AND(#REF!,"AAAAAHl37y0=")</f>
        <v>#REF!</v>
      </c>
      <c r="AU58" t="e">
        <f>AND(#REF!,"AAAAAHl37y4=")</f>
        <v>#REF!</v>
      </c>
      <c r="AV58" t="e">
        <f>AND(#REF!,"AAAAAHl37y8=")</f>
        <v>#REF!</v>
      </c>
      <c r="AW58" t="e">
        <f>AND(#REF!,"AAAAAHl37zA=")</f>
        <v>#REF!</v>
      </c>
      <c r="AX58" t="e">
        <f>AND(#REF!,"AAAAAHl37zE=")</f>
        <v>#REF!</v>
      </c>
      <c r="AY58" t="e">
        <f>AND(#REF!,"AAAAAHl37zI=")</f>
        <v>#REF!</v>
      </c>
      <c r="AZ58" t="e">
        <f>AND(#REF!,"AAAAAHl37zM=")</f>
        <v>#REF!</v>
      </c>
      <c r="BA58" t="e">
        <f>AND(#REF!,"AAAAAHl37zQ=")</f>
        <v>#REF!</v>
      </c>
      <c r="BB58" t="e">
        <f>IF(#REF!,"AAAAAHl37zU=",0)</f>
        <v>#REF!</v>
      </c>
      <c r="BC58" t="e">
        <f>AND(#REF!,"AAAAAHl37zY=")</f>
        <v>#REF!</v>
      </c>
      <c r="BD58" t="e">
        <f>AND(#REF!,"AAAAAHl37zc=")</f>
        <v>#REF!</v>
      </c>
      <c r="BE58" t="e">
        <f>AND(#REF!,"AAAAAHl37zg=")</f>
        <v>#REF!</v>
      </c>
      <c r="BF58" t="e">
        <f>AND(#REF!,"AAAAAHl37zk=")</f>
        <v>#REF!</v>
      </c>
      <c r="BG58" t="e">
        <f>AND(#REF!,"AAAAAHl37zo=")</f>
        <v>#REF!</v>
      </c>
      <c r="BH58" t="e">
        <f>AND(#REF!,"AAAAAHl37zs=")</f>
        <v>#REF!</v>
      </c>
      <c r="BI58" t="e">
        <f>AND(#REF!,"AAAAAHl37zw=")</f>
        <v>#REF!</v>
      </c>
      <c r="BJ58" t="e">
        <f>AND(#REF!,"AAAAAHl37z0=")</f>
        <v>#REF!</v>
      </c>
      <c r="BK58" t="e">
        <f>AND(#REF!,"AAAAAHl37z4=")</f>
        <v>#REF!</v>
      </c>
      <c r="BL58" t="e">
        <f>AND(#REF!,"AAAAAHl37z8=")</f>
        <v>#REF!</v>
      </c>
      <c r="BM58" t="e">
        <f>AND(#REF!,"AAAAAHl370A=")</f>
        <v>#REF!</v>
      </c>
      <c r="BN58" t="e">
        <f>AND(#REF!,"AAAAAHl370E=")</f>
        <v>#REF!</v>
      </c>
      <c r="BO58" t="e">
        <f>AND(#REF!,"AAAAAHl370I=")</f>
        <v>#REF!</v>
      </c>
      <c r="BP58" t="e">
        <f>AND(#REF!,"AAAAAHl370M=")</f>
        <v>#REF!</v>
      </c>
      <c r="BQ58" t="e">
        <f>AND(#REF!,"AAAAAHl370Q=")</f>
        <v>#REF!</v>
      </c>
      <c r="BR58" t="e">
        <f>AND(#REF!,"AAAAAHl370U=")</f>
        <v>#REF!</v>
      </c>
      <c r="BS58" t="e">
        <f>AND(#REF!,"AAAAAHl370Y=")</f>
        <v>#REF!</v>
      </c>
      <c r="BT58" t="e">
        <f>AND(#REF!,"AAAAAHl370c=")</f>
        <v>#REF!</v>
      </c>
      <c r="BU58" t="e">
        <f>AND(#REF!,"AAAAAHl370g=")</f>
        <v>#REF!</v>
      </c>
      <c r="BV58" t="e">
        <f>AND(#REF!,"AAAAAHl370k=")</f>
        <v>#REF!</v>
      </c>
      <c r="BW58" t="e">
        <f>AND(#REF!,"AAAAAHl370o=")</f>
        <v>#REF!</v>
      </c>
      <c r="BX58" t="e">
        <f>AND(#REF!,"AAAAAHl370s=")</f>
        <v>#REF!</v>
      </c>
      <c r="BY58" t="e">
        <f>AND(#REF!,"AAAAAHl370w=")</f>
        <v>#REF!</v>
      </c>
      <c r="BZ58" t="e">
        <f>IF(#REF!,"AAAAAHl3700=",0)</f>
        <v>#REF!</v>
      </c>
      <c r="CA58" t="e">
        <f>AND(#REF!,"AAAAAHl3704=")</f>
        <v>#REF!</v>
      </c>
      <c r="CB58" t="e">
        <f>AND(#REF!,"AAAAAHl3708=")</f>
        <v>#REF!</v>
      </c>
      <c r="CC58" t="e">
        <f>AND(#REF!,"AAAAAHl371A=")</f>
        <v>#REF!</v>
      </c>
      <c r="CD58" t="e">
        <f>AND(#REF!,"AAAAAHl371E=")</f>
        <v>#REF!</v>
      </c>
      <c r="CE58" t="e">
        <f>AND(#REF!,"AAAAAHl371I=")</f>
        <v>#REF!</v>
      </c>
      <c r="CF58" t="e">
        <f>AND(#REF!,"AAAAAHl371M=")</f>
        <v>#REF!</v>
      </c>
      <c r="CG58" t="e">
        <f>AND(#REF!,"AAAAAHl371Q=")</f>
        <v>#REF!</v>
      </c>
      <c r="CH58" t="e">
        <f>AND(#REF!,"AAAAAHl371U=")</f>
        <v>#REF!</v>
      </c>
      <c r="CI58" t="e">
        <f>AND(#REF!,"AAAAAHl371Y=")</f>
        <v>#REF!</v>
      </c>
      <c r="CJ58" t="e">
        <f>AND(#REF!,"AAAAAHl371c=")</f>
        <v>#REF!</v>
      </c>
      <c r="CK58" t="e">
        <f>AND(#REF!,"AAAAAHl371g=")</f>
        <v>#REF!</v>
      </c>
      <c r="CL58" t="e">
        <f>AND(#REF!,"AAAAAHl371k=")</f>
        <v>#REF!</v>
      </c>
      <c r="CM58" t="e">
        <f>AND(#REF!,"AAAAAHl371o=")</f>
        <v>#REF!</v>
      </c>
      <c r="CN58" t="e">
        <f>AND(#REF!,"AAAAAHl371s=")</f>
        <v>#REF!</v>
      </c>
      <c r="CO58" t="e">
        <f>AND(#REF!,"AAAAAHl371w=")</f>
        <v>#REF!</v>
      </c>
      <c r="CP58" t="e">
        <f>AND(#REF!,"AAAAAHl3710=")</f>
        <v>#REF!</v>
      </c>
      <c r="CQ58" t="e">
        <f>AND(#REF!,"AAAAAHl3714=")</f>
        <v>#REF!</v>
      </c>
      <c r="CR58" t="e">
        <f>AND(#REF!,"AAAAAHl3718=")</f>
        <v>#REF!</v>
      </c>
      <c r="CS58" t="e">
        <f>AND(#REF!,"AAAAAHl372A=")</f>
        <v>#REF!</v>
      </c>
      <c r="CT58" t="e">
        <f>AND(#REF!,"AAAAAHl372E=")</f>
        <v>#REF!</v>
      </c>
      <c r="CU58" t="e">
        <f>AND(#REF!,"AAAAAHl372I=")</f>
        <v>#REF!</v>
      </c>
      <c r="CV58" t="e">
        <f>AND(#REF!,"AAAAAHl372M=")</f>
        <v>#REF!</v>
      </c>
      <c r="CW58" t="e">
        <f>AND(#REF!,"AAAAAHl372Q=")</f>
        <v>#REF!</v>
      </c>
      <c r="CX58" t="e">
        <f>IF(#REF!,"AAAAAHl372U=",0)</f>
        <v>#REF!</v>
      </c>
      <c r="CY58" t="e">
        <f>AND(#REF!,"AAAAAHl372Y=")</f>
        <v>#REF!</v>
      </c>
      <c r="CZ58" t="e">
        <f>AND(#REF!,"AAAAAHl372c=")</f>
        <v>#REF!</v>
      </c>
      <c r="DA58" t="e">
        <f>AND(#REF!,"AAAAAHl372g=")</f>
        <v>#REF!</v>
      </c>
      <c r="DB58" t="e">
        <f>AND(#REF!,"AAAAAHl372k=")</f>
        <v>#REF!</v>
      </c>
      <c r="DC58" t="e">
        <f>AND(#REF!,"AAAAAHl372o=")</f>
        <v>#REF!</v>
      </c>
      <c r="DD58" t="e">
        <f>AND(#REF!,"AAAAAHl372s=")</f>
        <v>#REF!</v>
      </c>
      <c r="DE58" t="e">
        <f>AND(#REF!,"AAAAAHl372w=")</f>
        <v>#REF!</v>
      </c>
      <c r="DF58" t="e">
        <f>AND(#REF!,"AAAAAHl3720=")</f>
        <v>#REF!</v>
      </c>
      <c r="DG58" t="e">
        <f>AND(#REF!,"AAAAAHl3724=")</f>
        <v>#REF!</v>
      </c>
      <c r="DH58" t="e">
        <f>AND(#REF!,"AAAAAHl3728=")</f>
        <v>#REF!</v>
      </c>
      <c r="DI58" t="e">
        <f>AND(#REF!,"AAAAAHl373A=")</f>
        <v>#REF!</v>
      </c>
      <c r="DJ58" t="e">
        <f>AND(#REF!,"AAAAAHl373E=")</f>
        <v>#REF!</v>
      </c>
      <c r="DK58" t="e">
        <f>AND(#REF!,"AAAAAHl373I=")</f>
        <v>#REF!</v>
      </c>
      <c r="DL58" t="e">
        <f>AND(#REF!,"AAAAAHl373M=")</f>
        <v>#REF!</v>
      </c>
      <c r="DM58" t="e">
        <f>AND(#REF!,"AAAAAHl373Q=")</f>
        <v>#REF!</v>
      </c>
      <c r="DN58" t="e">
        <f>AND(#REF!,"AAAAAHl373U=")</f>
        <v>#REF!</v>
      </c>
      <c r="DO58" t="e">
        <f>AND(#REF!,"AAAAAHl373Y=")</f>
        <v>#REF!</v>
      </c>
      <c r="DP58" t="e">
        <f>AND(#REF!,"AAAAAHl373c=")</f>
        <v>#REF!</v>
      </c>
      <c r="DQ58" t="e">
        <f>AND(#REF!,"AAAAAHl373g=")</f>
        <v>#REF!</v>
      </c>
      <c r="DR58" t="e">
        <f>AND(#REF!,"AAAAAHl373k=")</f>
        <v>#REF!</v>
      </c>
      <c r="DS58" t="e">
        <f>AND(#REF!,"AAAAAHl373o=")</f>
        <v>#REF!</v>
      </c>
      <c r="DT58" t="e">
        <f>AND(#REF!,"AAAAAHl373s=")</f>
        <v>#REF!</v>
      </c>
      <c r="DU58" t="e">
        <f>AND(#REF!,"AAAAAHl373w=")</f>
        <v>#REF!</v>
      </c>
      <c r="DV58" t="e">
        <f>IF(#REF!,"AAAAAHl3730=",0)</f>
        <v>#REF!</v>
      </c>
      <c r="DW58" t="e">
        <f>AND(#REF!,"AAAAAHl3734=")</f>
        <v>#REF!</v>
      </c>
      <c r="DX58" t="e">
        <f>AND(#REF!,"AAAAAHl3738=")</f>
        <v>#REF!</v>
      </c>
      <c r="DY58" t="e">
        <f>AND(#REF!,"AAAAAHl374A=")</f>
        <v>#REF!</v>
      </c>
      <c r="DZ58" t="e">
        <f>AND(#REF!,"AAAAAHl374E=")</f>
        <v>#REF!</v>
      </c>
      <c r="EA58" t="e">
        <f>AND(#REF!,"AAAAAHl374I=")</f>
        <v>#REF!</v>
      </c>
      <c r="EB58" t="e">
        <f>AND(#REF!,"AAAAAHl374M=")</f>
        <v>#REF!</v>
      </c>
      <c r="EC58" t="e">
        <f>AND(#REF!,"AAAAAHl374Q=")</f>
        <v>#REF!</v>
      </c>
      <c r="ED58" t="e">
        <f>AND(#REF!,"AAAAAHl374U=")</f>
        <v>#REF!</v>
      </c>
      <c r="EE58" t="e">
        <f>AND(#REF!,"AAAAAHl374Y=")</f>
        <v>#REF!</v>
      </c>
      <c r="EF58" t="e">
        <f>AND(#REF!,"AAAAAHl374c=")</f>
        <v>#REF!</v>
      </c>
      <c r="EG58" t="e">
        <f>AND(#REF!,"AAAAAHl374g=")</f>
        <v>#REF!</v>
      </c>
      <c r="EH58" t="e">
        <f>AND(#REF!,"AAAAAHl374k=")</f>
        <v>#REF!</v>
      </c>
      <c r="EI58" t="e">
        <f>AND(#REF!,"AAAAAHl374o=")</f>
        <v>#REF!</v>
      </c>
      <c r="EJ58" t="e">
        <f>AND(#REF!,"AAAAAHl374s=")</f>
        <v>#REF!</v>
      </c>
      <c r="EK58" t="e">
        <f>AND(#REF!,"AAAAAHl374w=")</f>
        <v>#REF!</v>
      </c>
      <c r="EL58" t="e">
        <f>AND(#REF!,"AAAAAHl3740=")</f>
        <v>#REF!</v>
      </c>
      <c r="EM58" t="e">
        <f>AND(#REF!,"AAAAAHl3744=")</f>
        <v>#REF!</v>
      </c>
      <c r="EN58" t="e">
        <f>AND(#REF!,"AAAAAHl3748=")</f>
        <v>#REF!</v>
      </c>
      <c r="EO58" t="e">
        <f>AND(#REF!,"AAAAAHl375A=")</f>
        <v>#REF!</v>
      </c>
      <c r="EP58" t="e">
        <f>AND(#REF!,"AAAAAHl375E=")</f>
        <v>#REF!</v>
      </c>
      <c r="EQ58" t="e">
        <f>AND(#REF!,"AAAAAHl375I=")</f>
        <v>#REF!</v>
      </c>
      <c r="ER58" t="e">
        <f>AND(#REF!,"AAAAAHl375M=")</f>
        <v>#REF!</v>
      </c>
      <c r="ES58" t="e">
        <f>AND(#REF!,"AAAAAHl375Q=")</f>
        <v>#REF!</v>
      </c>
      <c r="ET58" t="e">
        <f>IF(#REF!,"AAAAAHl375U=",0)</f>
        <v>#REF!</v>
      </c>
      <c r="EU58" t="e">
        <f>AND(#REF!,"AAAAAHl375Y=")</f>
        <v>#REF!</v>
      </c>
      <c r="EV58" t="e">
        <f>AND(#REF!,"AAAAAHl375c=")</f>
        <v>#REF!</v>
      </c>
      <c r="EW58" t="e">
        <f>AND(#REF!,"AAAAAHl375g=")</f>
        <v>#REF!</v>
      </c>
      <c r="EX58" t="e">
        <f>AND(#REF!,"AAAAAHl375k=")</f>
        <v>#REF!</v>
      </c>
      <c r="EY58" t="e">
        <f>AND(#REF!,"AAAAAHl375o=")</f>
        <v>#REF!</v>
      </c>
      <c r="EZ58" t="e">
        <f>AND(#REF!,"AAAAAHl375s=")</f>
        <v>#REF!</v>
      </c>
      <c r="FA58" t="e">
        <f>AND(#REF!,"AAAAAHl375w=")</f>
        <v>#REF!</v>
      </c>
      <c r="FB58" t="e">
        <f>AND(#REF!,"AAAAAHl3750=")</f>
        <v>#REF!</v>
      </c>
      <c r="FC58" t="e">
        <f>AND(#REF!,"AAAAAHl3754=")</f>
        <v>#REF!</v>
      </c>
      <c r="FD58" t="e">
        <f>AND(#REF!,"AAAAAHl3758=")</f>
        <v>#REF!</v>
      </c>
      <c r="FE58" t="e">
        <f>AND(#REF!,"AAAAAHl376A=")</f>
        <v>#REF!</v>
      </c>
      <c r="FF58" t="e">
        <f>AND(#REF!,"AAAAAHl376E=")</f>
        <v>#REF!</v>
      </c>
      <c r="FG58" t="e">
        <f>AND(#REF!,"AAAAAHl376I=")</f>
        <v>#REF!</v>
      </c>
      <c r="FH58" t="e">
        <f>AND(#REF!,"AAAAAHl376M=")</f>
        <v>#REF!</v>
      </c>
      <c r="FI58" t="e">
        <f>AND(#REF!,"AAAAAHl376Q=")</f>
        <v>#REF!</v>
      </c>
      <c r="FJ58" t="e">
        <f>AND(#REF!,"AAAAAHl376U=")</f>
        <v>#REF!</v>
      </c>
      <c r="FK58" t="e">
        <f>AND(#REF!,"AAAAAHl376Y=")</f>
        <v>#REF!</v>
      </c>
      <c r="FL58" t="e">
        <f>AND(#REF!,"AAAAAHl376c=")</f>
        <v>#REF!</v>
      </c>
      <c r="FM58" t="e">
        <f>AND(#REF!,"AAAAAHl376g=")</f>
        <v>#REF!</v>
      </c>
      <c r="FN58" t="e">
        <f>AND(#REF!,"AAAAAHl376k=")</f>
        <v>#REF!</v>
      </c>
      <c r="FO58" t="e">
        <f>AND(#REF!,"AAAAAHl376o=")</f>
        <v>#REF!</v>
      </c>
      <c r="FP58" t="e">
        <f>AND(#REF!,"AAAAAHl376s=")</f>
        <v>#REF!</v>
      </c>
      <c r="FQ58" t="e">
        <f>AND(#REF!,"AAAAAHl376w=")</f>
        <v>#REF!</v>
      </c>
      <c r="FR58" t="e">
        <f>IF(#REF!,"AAAAAHl3760=",0)</f>
        <v>#REF!</v>
      </c>
      <c r="FS58" t="e">
        <f>AND(#REF!,"AAAAAHl3764=")</f>
        <v>#REF!</v>
      </c>
      <c r="FT58" t="e">
        <f>AND(#REF!,"AAAAAHl3768=")</f>
        <v>#REF!</v>
      </c>
      <c r="FU58" t="e">
        <f>AND(#REF!,"AAAAAHl377A=")</f>
        <v>#REF!</v>
      </c>
      <c r="FV58" t="e">
        <f>AND(#REF!,"AAAAAHl377E=")</f>
        <v>#REF!</v>
      </c>
      <c r="FW58" t="e">
        <f>AND(#REF!,"AAAAAHl377I=")</f>
        <v>#REF!</v>
      </c>
      <c r="FX58" t="e">
        <f>AND(#REF!,"AAAAAHl377M=")</f>
        <v>#REF!</v>
      </c>
      <c r="FY58" t="e">
        <f>AND(#REF!,"AAAAAHl377Q=")</f>
        <v>#REF!</v>
      </c>
      <c r="FZ58" t="e">
        <f>AND(#REF!,"AAAAAHl377U=")</f>
        <v>#REF!</v>
      </c>
      <c r="GA58" t="e">
        <f>AND(#REF!,"AAAAAHl377Y=")</f>
        <v>#REF!</v>
      </c>
      <c r="GB58" t="e">
        <f>AND(#REF!,"AAAAAHl377c=")</f>
        <v>#REF!</v>
      </c>
      <c r="GC58" t="e">
        <f>AND(#REF!,"AAAAAHl377g=")</f>
        <v>#REF!</v>
      </c>
      <c r="GD58" t="e">
        <f>AND(#REF!,"AAAAAHl377k=")</f>
        <v>#REF!</v>
      </c>
      <c r="GE58" t="e">
        <f>AND(#REF!,"AAAAAHl377o=")</f>
        <v>#REF!</v>
      </c>
      <c r="GF58" t="e">
        <f>AND(#REF!,"AAAAAHl377s=")</f>
        <v>#REF!</v>
      </c>
      <c r="GG58" t="e">
        <f>AND(#REF!,"AAAAAHl377w=")</f>
        <v>#REF!</v>
      </c>
      <c r="GH58" t="e">
        <f>AND(#REF!,"AAAAAHl3770=")</f>
        <v>#REF!</v>
      </c>
      <c r="GI58" t="e">
        <f>AND(#REF!,"AAAAAHl3774=")</f>
        <v>#REF!</v>
      </c>
      <c r="GJ58" t="e">
        <f>AND(#REF!,"AAAAAHl3778=")</f>
        <v>#REF!</v>
      </c>
      <c r="GK58" t="e">
        <f>AND(#REF!,"AAAAAHl378A=")</f>
        <v>#REF!</v>
      </c>
      <c r="GL58" t="e">
        <f>AND(#REF!,"AAAAAHl378E=")</f>
        <v>#REF!</v>
      </c>
      <c r="GM58" t="e">
        <f>AND(#REF!,"AAAAAHl378I=")</f>
        <v>#REF!</v>
      </c>
      <c r="GN58" t="e">
        <f>AND(#REF!,"AAAAAHl378M=")</f>
        <v>#REF!</v>
      </c>
      <c r="GO58" t="e">
        <f>AND(#REF!,"AAAAAHl378Q=")</f>
        <v>#REF!</v>
      </c>
      <c r="GP58" t="e">
        <f>IF(#REF!,"AAAAAHl378U=",0)</f>
        <v>#REF!</v>
      </c>
      <c r="GQ58" t="e">
        <f>AND(#REF!,"AAAAAHl378Y=")</f>
        <v>#REF!</v>
      </c>
      <c r="GR58" t="e">
        <f>AND(#REF!,"AAAAAHl378c=")</f>
        <v>#REF!</v>
      </c>
      <c r="GS58" t="e">
        <f>AND(#REF!,"AAAAAHl378g=")</f>
        <v>#REF!</v>
      </c>
      <c r="GT58" t="e">
        <f>AND(#REF!,"AAAAAHl378k=")</f>
        <v>#REF!</v>
      </c>
      <c r="GU58" t="e">
        <f>AND(#REF!,"AAAAAHl378o=")</f>
        <v>#REF!</v>
      </c>
      <c r="GV58" t="e">
        <f>AND(#REF!,"AAAAAHl378s=")</f>
        <v>#REF!</v>
      </c>
      <c r="GW58" t="e">
        <f>AND(#REF!,"AAAAAHl378w=")</f>
        <v>#REF!</v>
      </c>
      <c r="GX58" t="e">
        <f>AND(#REF!,"AAAAAHl3780=")</f>
        <v>#REF!</v>
      </c>
      <c r="GY58" t="e">
        <f>AND(#REF!,"AAAAAHl3784=")</f>
        <v>#REF!</v>
      </c>
      <c r="GZ58" t="e">
        <f>AND(#REF!,"AAAAAHl3788=")</f>
        <v>#REF!</v>
      </c>
      <c r="HA58" t="e">
        <f>AND(#REF!,"AAAAAHl379A=")</f>
        <v>#REF!</v>
      </c>
      <c r="HB58" t="e">
        <f>AND(#REF!,"AAAAAHl379E=")</f>
        <v>#REF!</v>
      </c>
      <c r="HC58" t="e">
        <f>AND(#REF!,"AAAAAHl379I=")</f>
        <v>#REF!</v>
      </c>
      <c r="HD58" t="e">
        <f>AND(#REF!,"AAAAAHl379M=")</f>
        <v>#REF!</v>
      </c>
      <c r="HE58" t="e">
        <f>AND(#REF!,"AAAAAHl379Q=")</f>
        <v>#REF!</v>
      </c>
      <c r="HF58" t="e">
        <f>AND(#REF!,"AAAAAHl379U=")</f>
        <v>#REF!</v>
      </c>
      <c r="HG58" t="e">
        <f>AND(#REF!,"AAAAAHl379Y=")</f>
        <v>#REF!</v>
      </c>
      <c r="HH58" t="e">
        <f>AND(#REF!,"AAAAAHl379c=")</f>
        <v>#REF!</v>
      </c>
      <c r="HI58" t="e">
        <f>AND(#REF!,"AAAAAHl379g=")</f>
        <v>#REF!</v>
      </c>
      <c r="HJ58" t="e">
        <f>AND(#REF!,"AAAAAHl379k=")</f>
        <v>#REF!</v>
      </c>
      <c r="HK58" t="e">
        <f>AND(#REF!,"AAAAAHl379o=")</f>
        <v>#REF!</v>
      </c>
      <c r="HL58" t="e">
        <f>AND(#REF!,"AAAAAHl379s=")</f>
        <v>#REF!</v>
      </c>
      <c r="HM58" t="e">
        <f>AND(#REF!,"AAAAAHl379w=")</f>
        <v>#REF!</v>
      </c>
      <c r="HN58" t="e">
        <f>IF(#REF!,"AAAAAHl3790=",0)</f>
        <v>#REF!</v>
      </c>
      <c r="HO58" t="e">
        <f>AND(#REF!,"AAAAAHl3794=")</f>
        <v>#REF!</v>
      </c>
      <c r="HP58" t="e">
        <f>AND(#REF!,"AAAAAHl3798=")</f>
        <v>#REF!</v>
      </c>
      <c r="HQ58" t="e">
        <f>AND(#REF!,"AAAAAHl37+A=")</f>
        <v>#REF!</v>
      </c>
      <c r="HR58" t="e">
        <f>AND(#REF!,"AAAAAHl37+E=")</f>
        <v>#REF!</v>
      </c>
      <c r="HS58" t="e">
        <f>AND(#REF!,"AAAAAHl37+I=")</f>
        <v>#REF!</v>
      </c>
      <c r="HT58" t="e">
        <f>AND(#REF!,"AAAAAHl37+M=")</f>
        <v>#REF!</v>
      </c>
      <c r="HU58" t="e">
        <f>AND(#REF!,"AAAAAHl37+Q=")</f>
        <v>#REF!</v>
      </c>
      <c r="HV58" t="e">
        <f>AND(#REF!,"AAAAAHl37+U=")</f>
        <v>#REF!</v>
      </c>
      <c r="HW58" t="e">
        <f>AND(#REF!,"AAAAAHl37+Y=")</f>
        <v>#REF!</v>
      </c>
      <c r="HX58" t="e">
        <f>AND(#REF!,"AAAAAHl37+c=")</f>
        <v>#REF!</v>
      </c>
      <c r="HY58" t="e">
        <f>AND(#REF!,"AAAAAHl37+g=")</f>
        <v>#REF!</v>
      </c>
      <c r="HZ58" t="e">
        <f>AND(#REF!,"AAAAAHl37+k=")</f>
        <v>#REF!</v>
      </c>
      <c r="IA58" t="e">
        <f>AND(#REF!,"AAAAAHl37+o=")</f>
        <v>#REF!</v>
      </c>
      <c r="IB58" t="e">
        <f>AND(#REF!,"AAAAAHl37+s=")</f>
        <v>#REF!</v>
      </c>
      <c r="IC58" t="e">
        <f>AND(#REF!,"AAAAAHl37+w=")</f>
        <v>#REF!</v>
      </c>
      <c r="ID58" t="e">
        <f>AND(#REF!,"AAAAAHl37+0=")</f>
        <v>#REF!</v>
      </c>
      <c r="IE58" t="e">
        <f>AND(#REF!,"AAAAAHl37+4=")</f>
        <v>#REF!</v>
      </c>
      <c r="IF58" t="e">
        <f>AND(#REF!,"AAAAAHl37+8=")</f>
        <v>#REF!</v>
      </c>
      <c r="IG58" t="e">
        <f>AND(#REF!,"AAAAAHl37/A=")</f>
        <v>#REF!</v>
      </c>
      <c r="IH58" t="e">
        <f>AND(#REF!,"AAAAAHl37/E=")</f>
        <v>#REF!</v>
      </c>
      <c r="II58" t="e">
        <f>AND(#REF!,"AAAAAHl37/I=")</f>
        <v>#REF!</v>
      </c>
      <c r="IJ58" t="e">
        <f>AND(#REF!,"AAAAAHl37/M=")</f>
        <v>#REF!</v>
      </c>
      <c r="IK58" t="e">
        <f>AND(#REF!,"AAAAAHl37/Q=")</f>
        <v>#REF!</v>
      </c>
      <c r="IL58" t="e">
        <f>IF(#REF!,"AAAAAHl37/U=",0)</f>
        <v>#REF!</v>
      </c>
      <c r="IM58" t="e">
        <f>AND(#REF!,"AAAAAHl37/Y=")</f>
        <v>#REF!</v>
      </c>
      <c r="IN58" t="e">
        <f>AND(#REF!,"AAAAAHl37/c=")</f>
        <v>#REF!</v>
      </c>
      <c r="IO58" t="e">
        <f>AND(#REF!,"AAAAAHl37/g=")</f>
        <v>#REF!</v>
      </c>
      <c r="IP58" t="e">
        <f>AND(#REF!,"AAAAAHl37/k=")</f>
        <v>#REF!</v>
      </c>
      <c r="IQ58" t="e">
        <f>AND(#REF!,"AAAAAHl37/o=")</f>
        <v>#REF!</v>
      </c>
      <c r="IR58" t="e">
        <f>AND(#REF!,"AAAAAHl37/s=")</f>
        <v>#REF!</v>
      </c>
      <c r="IS58" t="e">
        <f>AND(#REF!,"AAAAAHl37/w=")</f>
        <v>#REF!</v>
      </c>
      <c r="IT58" t="e">
        <f>AND(#REF!,"AAAAAHl37/0=")</f>
        <v>#REF!</v>
      </c>
      <c r="IU58" t="e">
        <f>AND(#REF!,"AAAAAHl37/4=")</f>
        <v>#REF!</v>
      </c>
      <c r="IV58" t="e">
        <f>AND(#REF!,"AAAAAHl37/8=")</f>
        <v>#REF!</v>
      </c>
    </row>
    <row r="59" spans="1:256" x14ac:dyDescent="0.15">
      <c r="A59" t="e">
        <f>AND(#REF!,"AAAAAH9/+QA=")</f>
        <v>#REF!</v>
      </c>
      <c r="B59" t="e">
        <f>AND(#REF!,"AAAAAH9/+QE=")</f>
        <v>#REF!</v>
      </c>
      <c r="C59" t="e">
        <f>AND(#REF!,"AAAAAH9/+QI=")</f>
        <v>#REF!</v>
      </c>
      <c r="D59" t="e">
        <f>AND(#REF!,"AAAAAH9/+QM=")</f>
        <v>#REF!</v>
      </c>
      <c r="E59" t="e">
        <f>AND(#REF!,"AAAAAH9/+QQ=")</f>
        <v>#REF!</v>
      </c>
      <c r="F59" t="e">
        <f>AND(#REF!,"AAAAAH9/+QU=")</f>
        <v>#REF!</v>
      </c>
      <c r="G59" t="e">
        <f>AND(#REF!,"AAAAAH9/+QY=")</f>
        <v>#REF!</v>
      </c>
      <c r="H59" t="e">
        <f>AND(#REF!,"AAAAAH9/+Qc=")</f>
        <v>#REF!</v>
      </c>
      <c r="I59" t="e">
        <f>AND(#REF!,"AAAAAH9/+Qg=")</f>
        <v>#REF!</v>
      </c>
      <c r="J59" t="e">
        <f>AND(#REF!,"AAAAAH9/+Qk=")</f>
        <v>#REF!</v>
      </c>
      <c r="K59" t="e">
        <f>AND(#REF!,"AAAAAH9/+Qo=")</f>
        <v>#REF!</v>
      </c>
      <c r="L59" t="e">
        <f>AND(#REF!,"AAAAAH9/+Qs=")</f>
        <v>#REF!</v>
      </c>
      <c r="M59" t="e">
        <f>AND(#REF!,"AAAAAH9/+Qw=")</f>
        <v>#REF!</v>
      </c>
      <c r="N59" t="e">
        <f>IF(#REF!,"AAAAAH9/+Q0=",0)</f>
        <v>#REF!</v>
      </c>
      <c r="O59" t="e">
        <f>AND(#REF!,"AAAAAH9/+Q4=")</f>
        <v>#REF!</v>
      </c>
      <c r="P59" t="e">
        <f>AND(#REF!,"AAAAAH9/+Q8=")</f>
        <v>#REF!</v>
      </c>
      <c r="Q59" t="e">
        <f>AND(#REF!,"AAAAAH9/+RA=")</f>
        <v>#REF!</v>
      </c>
      <c r="R59" t="e">
        <f>AND(#REF!,"AAAAAH9/+RE=")</f>
        <v>#REF!</v>
      </c>
      <c r="S59" t="e">
        <f>AND(#REF!,"AAAAAH9/+RI=")</f>
        <v>#REF!</v>
      </c>
      <c r="T59" t="e">
        <f>AND(#REF!,"AAAAAH9/+RM=")</f>
        <v>#REF!</v>
      </c>
      <c r="U59" t="e">
        <f>AND(#REF!,"AAAAAH9/+RQ=")</f>
        <v>#REF!</v>
      </c>
      <c r="V59" t="e">
        <f>AND(#REF!,"AAAAAH9/+RU=")</f>
        <v>#REF!</v>
      </c>
      <c r="W59" t="e">
        <f>AND(#REF!,"AAAAAH9/+RY=")</f>
        <v>#REF!</v>
      </c>
      <c r="X59" t="e">
        <f>AND(#REF!,"AAAAAH9/+Rc=")</f>
        <v>#REF!</v>
      </c>
      <c r="Y59" t="e">
        <f>AND(#REF!,"AAAAAH9/+Rg=")</f>
        <v>#REF!</v>
      </c>
      <c r="Z59" t="e">
        <f>AND(#REF!,"AAAAAH9/+Rk=")</f>
        <v>#REF!</v>
      </c>
      <c r="AA59" t="e">
        <f>AND(#REF!,"AAAAAH9/+Ro=")</f>
        <v>#REF!</v>
      </c>
      <c r="AB59" t="e">
        <f>AND(#REF!,"AAAAAH9/+Rs=")</f>
        <v>#REF!</v>
      </c>
      <c r="AC59" t="e">
        <f>AND(#REF!,"AAAAAH9/+Rw=")</f>
        <v>#REF!</v>
      </c>
      <c r="AD59" t="e">
        <f>AND(#REF!,"AAAAAH9/+R0=")</f>
        <v>#REF!</v>
      </c>
      <c r="AE59" t="e">
        <f>AND(#REF!,"AAAAAH9/+R4=")</f>
        <v>#REF!</v>
      </c>
      <c r="AF59" t="e">
        <f>AND(#REF!,"AAAAAH9/+R8=")</f>
        <v>#REF!</v>
      </c>
      <c r="AG59" t="e">
        <f>AND(#REF!,"AAAAAH9/+SA=")</f>
        <v>#REF!</v>
      </c>
      <c r="AH59" t="e">
        <f>AND(#REF!,"AAAAAH9/+SE=")</f>
        <v>#REF!</v>
      </c>
      <c r="AI59" t="e">
        <f>AND(#REF!,"AAAAAH9/+SI=")</f>
        <v>#REF!</v>
      </c>
      <c r="AJ59" t="e">
        <f>AND(#REF!,"AAAAAH9/+SM=")</f>
        <v>#REF!</v>
      </c>
      <c r="AK59" t="e">
        <f>AND(#REF!,"AAAAAH9/+SQ=")</f>
        <v>#REF!</v>
      </c>
      <c r="AL59" t="e">
        <f>IF(#REF!,"AAAAAH9/+SU=",0)</f>
        <v>#REF!</v>
      </c>
      <c r="AM59" t="e">
        <f>AND(#REF!,"AAAAAH9/+SY=")</f>
        <v>#REF!</v>
      </c>
      <c r="AN59" t="e">
        <f>AND(#REF!,"AAAAAH9/+Sc=")</f>
        <v>#REF!</v>
      </c>
      <c r="AO59" t="e">
        <f>AND(#REF!,"AAAAAH9/+Sg=")</f>
        <v>#REF!</v>
      </c>
      <c r="AP59" t="e">
        <f>AND(#REF!,"AAAAAH9/+Sk=")</f>
        <v>#REF!</v>
      </c>
      <c r="AQ59" t="e">
        <f>AND(#REF!,"AAAAAH9/+So=")</f>
        <v>#REF!</v>
      </c>
      <c r="AR59" t="e">
        <f>AND(#REF!,"AAAAAH9/+Ss=")</f>
        <v>#REF!</v>
      </c>
      <c r="AS59" t="e">
        <f>AND(#REF!,"AAAAAH9/+Sw=")</f>
        <v>#REF!</v>
      </c>
      <c r="AT59" t="e">
        <f>AND(#REF!,"AAAAAH9/+S0=")</f>
        <v>#REF!</v>
      </c>
      <c r="AU59" t="e">
        <f>AND(#REF!,"AAAAAH9/+S4=")</f>
        <v>#REF!</v>
      </c>
      <c r="AV59" t="e">
        <f>AND(#REF!,"AAAAAH9/+S8=")</f>
        <v>#REF!</v>
      </c>
      <c r="AW59" t="e">
        <f>AND(#REF!,"AAAAAH9/+TA=")</f>
        <v>#REF!</v>
      </c>
      <c r="AX59" t="e">
        <f>AND(#REF!,"AAAAAH9/+TE=")</f>
        <v>#REF!</v>
      </c>
      <c r="AY59" t="e">
        <f>AND(#REF!,"AAAAAH9/+TI=")</f>
        <v>#REF!</v>
      </c>
      <c r="AZ59" t="e">
        <f>AND(#REF!,"AAAAAH9/+TM=")</f>
        <v>#REF!</v>
      </c>
      <c r="BA59" t="e">
        <f>AND(#REF!,"AAAAAH9/+TQ=")</f>
        <v>#REF!</v>
      </c>
      <c r="BB59" t="e">
        <f>AND(#REF!,"AAAAAH9/+TU=")</f>
        <v>#REF!</v>
      </c>
      <c r="BC59" t="e">
        <f>AND(#REF!,"AAAAAH9/+TY=")</f>
        <v>#REF!</v>
      </c>
      <c r="BD59" t="e">
        <f>AND(#REF!,"AAAAAH9/+Tc=")</f>
        <v>#REF!</v>
      </c>
      <c r="BE59" t="e">
        <f>AND(#REF!,"AAAAAH9/+Tg=")</f>
        <v>#REF!</v>
      </c>
      <c r="BF59" t="e">
        <f>AND(#REF!,"AAAAAH9/+Tk=")</f>
        <v>#REF!</v>
      </c>
      <c r="BG59" t="e">
        <f>AND(#REF!,"AAAAAH9/+To=")</f>
        <v>#REF!</v>
      </c>
      <c r="BH59" t="e">
        <f>AND(#REF!,"AAAAAH9/+Ts=")</f>
        <v>#REF!</v>
      </c>
      <c r="BI59" t="e">
        <f>AND(#REF!,"AAAAAH9/+Tw=")</f>
        <v>#REF!</v>
      </c>
      <c r="BJ59" t="e">
        <f>IF(#REF!,"AAAAAH9/+T0=",0)</f>
        <v>#REF!</v>
      </c>
      <c r="BK59" t="e">
        <f>AND(#REF!,"AAAAAH9/+T4=")</f>
        <v>#REF!</v>
      </c>
      <c r="BL59" t="e">
        <f>AND(#REF!,"AAAAAH9/+T8=")</f>
        <v>#REF!</v>
      </c>
      <c r="BM59" t="e">
        <f>AND(#REF!,"AAAAAH9/+UA=")</f>
        <v>#REF!</v>
      </c>
      <c r="BN59" t="e">
        <f>AND(#REF!,"AAAAAH9/+UE=")</f>
        <v>#REF!</v>
      </c>
      <c r="BO59" t="e">
        <f>AND(#REF!,"AAAAAH9/+UI=")</f>
        <v>#REF!</v>
      </c>
      <c r="BP59" t="e">
        <f>AND(#REF!,"AAAAAH9/+UM=")</f>
        <v>#REF!</v>
      </c>
      <c r="BQ59" t="e">
        <f>AND(#REF!,"AAAAAH9/+UQ=")</f>
        <v>#REF!</v>
      </c>
      <c r="BR59" t="e">
        <f>AND(#REF!,"AAAAAH9/+UU=")</f>
        <v>#REF!</v>
      </c>
      <c r="BS59" t="e">
        <f>AND(#REF!,"AAAAAH9/+UY=")</f>
        <v>#REF!</v>
      </c>
      <c r="BT59" t="e">
        <f>AND(#REF!,"AAAAAH9/+Uc=")</f>
        <v>#REF!</v>
      </c>
      <c r="BU59" t="e">
        <f>AND(#REF!,"AAAAAH9/+Ug=")</f>
        <v>#REF!</v>
      </c>
      <c r="BV59" t="e">
        <f>AND(#REF!,"AAAAAH9/+Uk=")</f>
        <v>#REF!</v>
      </c>
      <c r="BW59" t="e">
        <f>AND(#REF!,"AAAAAH9/+Uo=")</f>
        <v>#REF!</v>
      </c>
      <c r="BX59" t="e">
        <f>AND(#REF!,"AAAAAH9/+Us=")</f>
        <v>#REF!</v>
      </c>
      <c r="BY59" t="e">
        <f>AND(#REF!,"AAAAAH9/+Uw=")</f>
        <v>#REF!</v>
      </c>
      <c r="BZ59" t="e">
        <f>AND(#REF!,"AAAAAH9/+U0=")</f>
        <v>#REF!</v>
      </c>
      <c r="CA59" t="e">
        <f>AND(#REF!,"AAAAAH9/+U4=")</f>
        <v>#REF!</v>
      </c>
      <c r="CB59" t="e">
        <f>AND(#REF!,"AAAAAH9/+U8=")</f>
        <v>#REF!</v>
      </c>
      <c r="CC59" t="e">
        <f>AND(#REF!,"AAAAAH9/+VA=")</f>
        <v>#REF!</v>
      </c>
      <c r="CD59" t="e">
        <f>AND(#REF!,"AAAAAH9/+VE=")</f>
        <v>#REF!</v>
      </c>
      <c r="CE59" t="e">
        <f>AND(#REF!,"AAAAAH9/+VI=")</f>
        <v>#REF!</v>
      </c>
      <c r="CF59" t="e">
        <f>AND(#REF!,"AAAAAH9/+VM=")</f>
        <v>#REF!</v>
      </c>
      <c r="CG59" t="e">
        <f>AND(#REF!,"AAAAAH9/+VQ=")</f>
        <v>#REF!</v>
      </c>
      <c r="CH59" t="e">
        <f>IF(#REF!,"AAAAAH9/+VU=",0)</f>
        <v>#REF!</v>
      </c>
      <c r="CI59" t="e">
        <f>AND(#REF!,"AAAAAH9/+VY=")</f>
        <v>#REF!</v>
      </c>
      <c r="CJ59" t="e">
        <f>AND(#REF!,"AAAAAH9/+Vc=")</f>
        <v>#REF!</v>
      </c>
      <c r="CK59" t="e">
        <f>AND(#REF!,"AAAAAH9/+Vg=")</f>
        <v>#REF!</v>
      </c>
      <c r="CL59" t="e">
        <f>AND(#REF!,"AAAAAH9/+Vk=")</f>
        <v>#REF!</v>
      </c>
      <c r="CM59" t="e">
        <f>AND(#REF!,"AAAAAH9/+Vo=")</f>
        <v>#REF!</v>
      </c>
      <c r="CN59" t="e">
        <f>AND(#REF!,"AAAAAH9/+Vs=")</f>
        <v>#REF!</v>
      </c>
      <c r="CO59" t="e">
        <f>AND(#REF!,"AAAAAH9/+Vw=")</f>
        <v>#REF!</v>
      </c>
      <c r="CP59" t="e">
        <f>AND(#REF!,"AAAAAH9/+V0=")</f>
        <v>#REF!</v>
      </c>
      <c r="CQ59" t="e">
        <f>AND(#REF!,"AAAAAH9/+V4=")</f>
        <v>#REF!</v>
      </c>
      <c r="CR59" t="e">
        <f>AND(#REF!,"AAAAAH9/+V8=")</f>
        <v>#REF!</v>
      </c>
      <c r="CS59" t="e">
        <f>AND(#REF!,"AAAAAH9/+WA=")</f>
        <v>#REF!</v>
      </c>
      <c r="CT59" t="e">
        <f>AND(#REF!,"AAAAAH9/+WE=")</f>
        <v>#REF!</v>
      </c>
      <c r="CU59" t="e">
        <f>AND(#REF!,"AAAAAH9/+WI=")</f>
        <v>#REF!</v>
      </c>
      <c r="CV59" t="e">
        <f>AND(#REF!,"AAAAAH9/+WM=")</f>
        <v>#REF!</v>
      </c>
      <c r="CW59" t="e">
        <f>AND(#REF!,"AAAAAH9/+WQ=")</f>
        <v>#REF!</v>
      </c>
      <c r="CX59" t="e">
        <f>AND(#REF!,"AAAAAH9/+WU=")</f>
        <v>#REF!</v>
      </c>
      <c r="CY59" t="e">
        <f>AND(#REF!,"AAAAAH9/+WY=")</f>
        <v>#REF!</v>
      </c>
      <c r="CZ59" t="e">
        <f>AND(#REF!,"AAAAAH9/+Wc=")</f>
        <v>#REF!</v>
      </c>
      <c r="DA59" t="e">
        <f>AND(#REF!,"AAAAAH9/+Wg=")</f>
        <v>#REF!</v>
      </c>
      <c r="DB59" t="e">
        <f>AND(#REF!,"AAAAAH9/+Wk=")</f>
        <v>#REF!</v>
      </c>
      <c r="DC59" t="e">
        <f>AND(#REF!,"AAAAAH9/+Wo=")</f>
        <v>#REF!</v>
      </c>
      <c r="DD59" t="e">
        <f>AND(#REF!,"AAAAAH9/+Ws=")</f>
        <v>#REF!</v>
      </c>
      <c r="DE59" t="e">
        <f>AND(#REF!,"AAAAAH9/+Ww=")</f>
        <v>#REF!</v>
      </c>
      <c r="DF59" t="e">
        <f>IF(#REF!,"AAAAAH9/+W0=",0)</f>
        <v>#REF!</v>
      </c>
      <c r="DG59" t="e">
        <f>AND(#REF!,"AAAAAH9/+W4=")</f>
        <v>#REF!</v>
      </c>
      <c r="DH59" t="e">
        <f>AND(#REF!,"AAAAAH9/+W8=")</f>
        <v>#REF!</v>
      </c>
      <c r="DI59" t="e">
        <f>AND(#REF!,"AAAAAH9/+XA=")</f>
        <v>#REF!</v>
      </c>
      <c r="DJ59" t="e">
        <f>AND(#REF!,"AAAAAH9/+XE=")</f>
        <v>#REF!</v>
      </c>
      <c r="DK59" t="e">
        <f>AND(#REF!,"AAAAAH9/+XI=")</f>
        <v>#REF!</v>
      </c>
      <c r="DL59" t="e">
        <f>AND(#REF!,"AAAAAH9/+XM=")</f>
        <v>#REF!</v>
      </c>
      <c r="DM59" t="e">
        <f>AND(#REF!,"AAAAAH9/+XQ=")</f>
        <v>#REF!</v>
      </c>
      <c r="DN59" t="e">
        <f>AND(#REF!,"AAAAAH9/+XU=")</f>
        <v>#REF!</v>
      </c>
      <c r="DO59" t="e">
        <f>AND(#REF!,"AAAAAH9/+XY=")</f>
        <v>#REF!</v>
      </c>
      <c r="DP59" t="e">
        <f>AND(#REF!,"AAAAAH9/+Xc=")</f>
        <v>#REF!</v>
      </c>
      <c r="DQ59" t="e">
        <f>AND(#REF!,"AAAAAH9/+Xg=")</f>
        <v>#REF!</v>
      </c>
      <c r="DR59" t="e">
        <f>AND(#REF!,"AAAAAH9/+Xk=")</f>
        <v>#REF!</v>
      </c>
      <c r="DS59" t="e">
        <f>AND(#REF!,"AAAAAH9/+Xo=")</f>
        <v>#REF!</v>
      </c>
      <c r="DT59" t="e">
        <f>AND(#REF!,"AAAAAH9/+Xs=")</f>
        <v>#REF!</v>
      </c>
      <c r="DU59" t="e">
        <f>AND(#REF!,"AAAAAH9/+Xw=")</f>
        <v>#REF!</v>
      </c>
      <c r="DV59" t="e">
        <f>AND(#REF!,"AAAAAH9/+X0=")</f>
        <v>#REF!</v>
      </c>
      <c r="DW59" t="e">
        <f>AND(#REF!,"AAAAAH9/+X4=")</f>
        <v>#REF!</v>
      </c>
      <c r="DX59" t="e">
        <f>AND(#REF!,"AAAAAH9/+X8=")</f>
        <v>#REF!</v>
      </c>
      <c r="DY59" t="e">
        <f>AND(#REF!,"AAAAAH9/+YA=")</f>
        <v>#REF!</v>
      </c>
      <c r="DZ59" t="e">
        <f>AND(#REF!,"AAAAAH9/+YE=")</f>
        <v>#REF!</v>
      </c>
      <c r="EA59" t="e">
        <f>AND(#REF!,"AAAAAH9/+YI=")</f>
        <v>#REF!</v>
      </c>
      <c r="EB59" t="e">
        <f>AND(#REF!,"AAAAAH9/+YM=")</f>
        <v>#REF!</v>
      </c>
      <c r="EC59" t="e">
        <f>AND(#REF!,"AAAAAH9/+YQ=")</f>
        <v>#REF!</v>
      </c>
      <c r="ED59" t="e">
        <f>IF(#REF!,"AAAAAH9/+YU=",0)</f>
        <v>#REF!</v>
      </c>
      <c r="EE59" t="e">
        <f>AND(#REF!,"AAAAAH9/+YY=")</f>
        <v>#REF!</v>
      </c>
      <c r="EF59" t="e">
        <f>AND(#REF!,"AAAAAH9/+Yc=")</f>
        <v>#REF!</v>
      </c>
      <c r="EG59" t="e">
        <f>AND(#REF!,"AAAAAH9/+Yg=")</f>
        <v>#REF!</v>
      </c>
      <c r="EH59" t="e">
        <f>AND(#REF!,"AAAAAH9/+Yk=")</f>
        <v>#REF!</v>
      </c>
      <c r="EI59" t="e">
        <f>AND(#REF!,"AAAAAH9/+Yo=")</f>
        <v>#REF!</v>
      </c>
      <c r="EJ59" t="e">
        <f>AND(#REF!,"AAAAAH9/+Ys=")</f>
        <v>#REF!</v>
      </c>
      <c r="EK59" t="e">
        <f>AND(#REF!,"AAAAAH9/+Yw=")</f>
        <v>#REF!</v>
      </c>
      <c r="EL59" t="e">
        <f>AND(#REF!,"AAAAAH9/+Y0=")</f>
        <v>#REF!</v>
      </c>
      <c r="EM59" t="e">
        <f>AND(#REF!,"AAAAAH9/+Y4=")</f>
        <v>#REF!</v>
      </c>
      <c r="EN59" t="e">
        <f>AND(#REF!,"AAAAAH9/+Y8=")</f>
        <v>#REF!</v>
      </c>
      <c r="EO59" t="e">
        <f>AND(#REF!,"AAAAAH9/+ZA=")</f>
        <v>#REF!</v>
      </c>
      <c r="EP59" t="e">
        <f>AND(#REF!,"AAAAAH9/+ZE=")</f>
        <v>#REF!</v>
      </c>
      <c r="EQ59" t="e">
        <f>AND(#REF!,"AAAAAH9/+ZI=")</f>
        <v>#REF!</v>
      </c>
      <c r="ER59" t="e">
        <f>AND(#REF!,"AAAAAH9/+ZM=")</f>
        <v>#REF!</v>
      </c>
      <c r="ES59" t="e">
        <f>AND(#REF!,"AAAAAH9/+ZQ=")</f>
        <v>#REF!</v>
      </c>
      <c r="ET59" t="e">
        <f>AND(#REF!,"AAAAAH9/+ZU=")</f>
        <v>#REF!</v>
      </c>
      <c r="EU59" t="e">
        <f>AND(#REF!,"AAAAAH9/+ZY=")</f>
        <v>#REF!</v>
      </c>
      <c r="EV59" t="e">
        <f>AND(#REF!,"AAAAAH9/+Zc=")</f>
        <v>#REF!</v>
      </c>
      <c r="EW59" t="e">
        <f>AND(#REF!,"AAAAAH9/+Zg=")</f>
        <v>#REF!</v>
      </c>
      <c r="EX59" t="e">
        <f>AND(#REF!,"AAAAAH9/+Zk=")</f>
        <v>#REF!</v>
      </c>
      <c r="EY59" t="e">
        <f>AND(#REF!,"AAAAAH9/+Zo=")</f>
        <v>#REF!</v>
      </c>
      <c r="EZ59" t="e">
        <f>AND(#REF!,"AAAAAH9/+Zs=")</f>
        <v>#REF!</v>
      </c>
      <c r="FA59" t="e">
        <f>AND(#REF!,"AAAAAH9/+Zw=")</f>
        <v>#REF!</v>
      </c>
      <c r="FB59" t="e">
        <f>IF(#REF!,"AAAAAH9/+Z0=",0)</f>
        <v>#REF!</v>
      </c>
      <c r="FC59" t="e">
        <f>AND(#REF!,"AAAAAH9/+Z4=")</f>
        <v>#REF!</v>
      </c>
      <c r="FD59" t="e">
        <f>AND(#REF!,"AAAAAH9/+Z8=")</f>
        <v>#REF!</v>
      </c>
      <c r="FE59" t="e">
        <f>AND(#REF!,"AAAAAH9/+aA=")</f>
        <v>#REF!</v>
      </c>
      <c r="FF59" t="e">
        <f>AND(#REF!,"AAAAAH9/+aE=")</f>
        <v>#REF!</v>
      </c>
      <c r="FG59" t="e">
        <f>AND(#REF!,"AAAAAH9/+aI=")</f>
        <v>#REF!</v>
      </c>
      <c r="FH59" t="e">
        <f>AND(#REF!,"AAAAAH9/+aM=")</f>
        <v>#REF!</v>
      </c>
      <c r="FI59" t="e">
        <f>AND(#REF!,"AAAAAH9/+aQ=")</f>
        <v>#REF!</v>
      </c>
      <c r="FJ59" t="e">
        <f>AND(#REF!,"AAAAAH9/+aU=")</f>
        <v>#REF!</v>
      </c>
      <c r="FK59" t="e">
        <f>AND(#REF!,"AAAAAH9/+aY=")</f>
        <v>#REF!</v>
      </c>
      <c r="FL59" t="e">
        <f>AND(#REF!,"AAAAAH9/+ac=")</f>
        <v>#REF!</v>
      </c>
      <c r="FM59" t="e">
        <f>AND(#REF!,"AAAAAH9/+ag=")</f>
        <v>#REF!</v>
      </c>
      <c r="FN59" t="e">
        <f>AND(#REF!,"AAAAAH9/+ak=")</f>
        <v>#REF!</v>
      </c>
      <c r="FO59" t="e">
        <f>AND(#REF!,"AAAAAH9/+ao=")</f>
        <v>#REF!</v>
      </c>
      <c r="FP59" t="e">
        <f>AND(#REF!,"AAAAAH9/+as=")</f>
        <v>#REF!</v>
      </c>
      <c r="FQ59" t="e">
        <f>AND(#REF!,"AAAAAH9/+aw=")</f>
        <v>#REF!</v>
      </c>
      <c r="FR59" t="e">
        <f>AND(#REF!,"AAAAAH9/+a0=")</f>
        <v>#REF!</v>
      </c>
      <c r="FS59" t="e">
        <f>AND(#REF!,"AAAAAH9/+a4=")</f>
        <v>#REF!</v>
      </c>
      <c r="FT59" t="e">
        <f>AND(#REF!,"AAAAAH9/+a8=")</f>
        <v>#REF!</v>
      </c>
      <c r="FU59" t="e">
        <f>AND(#REF!,"AAAAAH9/+bA=")</f>
        <v>#REF!</v>
      </c>
      <c r="FV59" t="e">
        <f>AND(#REF!,"AAAAAH9/+bE=")</f>
        <v>#REF!</v>
      </c>
      <c r="FW59" t="e">
        <f>AND(#REF!,"AAAAAH9/+bI=")</f>
        <v>#REF!</v>
      </c>
      <c r="FX59" t="e">
        <f>AND(#REF!,"AAAAAH9/+bM=")</f>
        <v>#REF!</v>
      </c>
      <c r="FY59" t="e">
        <f>AND(#REF!,"AAAAAH9/+bQ=")</f>
        <v>#REF!</v>
      </c>
      <c r="FZ59" t="e">
        <f>IF(#REF!,"AAAAAH9/+bU=",0)</f>
        <v>#REF!</v>
      </c>
      <c r="GA59" t="e">
        <f>AND(#REF!,"AAAAAH9/+bY=")</f>
        <v>#REF!</v>
      </c>
      <c r="GB59" t="e">
        <f>AND(#REF!,"AAAAAH9/+bc=")</f>
        <v>#REF!</v>
      </c>
      <c r="GC59" t="e">
        <f>AND(#REF!,"AAAAAH9/+bg=")</f>
        <v>#REF!</v>
      </c>
      <c r="GD59" t="e">
        <f>AND(#REF!,"AAAAAH9/+bk=")</f>
        <v>#REF!</v>
      </c>
      <c r="GE59" t="e">
        <f>AND(#REF!,"AAAAAH9/+bo=")</f>
        <v>#REF!</v>
      </c>
      <c r="GF59" t="e">
        <f>AND(#REF!,"AAAAAH9/+bs=")</f>
        <v>#REF!</v>
      </c>
      <c r="GG59" t="e">
        <f>AND(#REF!,"AAAAAH9/+bw=")</f>
        <v>#REF!</v>
      </c>
      <c r="GH59" t="e">
        <f>AND(#REF!,"AAAAAH9/+b0=")</f>
        <v>#REF!</v>
      </c>
      <c r="GI59" t="e">
        <f>AND(#REF!,"AAAAAH9/+b4=")</f>
        <v>#REF!</v>
      </c>
      <c r="GJ59" t="e">
        <f>AND(#REF!,"AAAAAH9/+b8=")</f>
        <v>#REF!</v>
      </c>
      <c r="GK59" t="e">
        <f>AND(#REF!,"AAAAAH9/+cA=")</f>
        <v>#REF!</v>
      </c>
      <c r="GL59" t="e">
        <f>AND(#REF!,"AAAAAH9/+cE=")</f>
        <v>#REF!</v>
      </c>
      <c r="GM59" t="e">
        <f>AND(#REF!,"AAAAAH9/+cI=")</f>
        <v>#REF!</v>
      </c>
      <c r="GN59" t="e">
        <f>AND(#REF!,"AAAAAH9/+cM=")</f>
        <v>#REF!</v>
      </c>
      <c r="GO59" t="e">
        <f>AND(#REF!,"AAAAAH9/+cQ=")</f>
        <v>#REF!</v>
      </c>
      <c r="GP59" t="e">
        <f>AND(#REF!,"AAAAAH9/+cU=")</f>
        <v>#REF!</v>
      </c>
      <c r="GQ59" t="e">
        <f>AND(#REF!,"AAAAAH9/+cY=")</f>
        <v>#REF!</v>
      </c>
      <c r="GR59" t="e">
        <f>AND(#REF!,"AAAAAH9/+cc=")</f>
        <v>#REF!</v>
      </c>
      <c r="GS59" t="e">
        <f>AND(#REF!,"AAAAAH9/+cg=")</f>
        <v>#REF!</v>
      </c>
      <c r="GT59" t="e">
        <f>AND(#REF!,"AAAAAH9/+ck=")</f>
        <v>#REF!</v>
      </c>
      <c r="GU59" t="e">
        <f>AND(#REF!,"AAAAAH9/+co=")</f>
        <v>#REF!</v>
      </c>
      <c r="GV59" t="e">
        <f>AND(#REF!,"AAAAAH9/+cs=")</f>
        <v>#REF!</v>
      </c>
      <c r="GW59" t="e">
        <f>AND(#REF!,"AAAAAH9/+cw=")</f>
        <v>#REF!</v>
      </c>
      <c r="GX59" t="e">
        <f>IF(#REF!,"AAAAAH9/+c0=",0)</f>
        <v>#REF!</v>
      </c>
      <c r="GY59" t="e">
        <f>AND(#REF!,"AAAAAH9/+c4=")</f>
        <v>#REF!</v>
      </c>
      <c r="GZ59" t="e">
        <f>AND(#REF!,"AAAAAH9/+c8=")</f>
        <v>#REF!</v>
      </c>
      <c r="HA59" t="e">
        <f>AND(#REF!,"AAAAAH9/+dA=")</f>
        <v>#REF!</v>
      </c>
      <c r="HB59" t="e">
        <f>AND(#REF!,"AAAAAH9/+dE=")</f>
        <v>#REF!</v>
      </c>
      <c r="HC59" t="e">
        <f>AND(#REF!,"AAAAAH9/+dI=")</f>
        <v>#REF!</v>
      </c>
      <c r="HD59" t="e">
        <f>AND(#REF!,"AAAAAH9/+dM=")</f>
        <v>#REF!</v>
      </c>
      <c r="HE59" t="e">
        <f>AND(#REF!,"AAAAAH9/+dQ=")</f>
        <v>#REF!</v>
      </c>
      <c r="HF59" t="e">
        <f>AND(#REF!,"AAAAAH9/+dU=")</f>
        <v>#REF!</v>
      </c>
      <c r="HG59" t="e">
        <f>AND(#REF!,"AAAAAH9/+dY=")</f>
        <v>#REF!</v>
      </c>
      <c r="HH59" t="e">
        <f>AND(#REF!,"AAAAAH9/+dc=")</f>
        <v>#REF!</v>
      </c>
      <c r="HI59" t="e">
        <f>AND(#REF!,"AAAAAH9/+dg=")</f>
        <v>#REF!</v>
      </c>
      <c r="HJ59" t="e">
        <f>AND(#REF!,"AAAAAH9/+dk=")</f>
        <v>#REF!</v>
      </c>
      <c r="HK59" t="e">
        <f>AND(#REF!,"AAAAAH9/+do=")</f>
        <v>#REF!</v>
      </c>
      <c r="HL59" t="e">
        <f>AND(#REF!,"AAAAAH9/+ds=")</f>
        <v>#REF!</v>
      </c>
      <c r="HM59" t="e">
        <f>AND(#REF!,"AAAAAH9/+dw=")</f>
        <v>#REF!</v>
      </c>
      <c r="HN59" t="e">
        <f>AND(#REF!,"AAAAAH9/+d0=")</f>
        <v>#REF!</v>
      </c>
      <c r="HO59" t="e">
        <f>AND(#REF!,"AAAAAH9/+d4=")</f>
        <v>#REF!</v>
      </c>
      <c r="HP59" t="e">
        <f>AND(#REF!,"AAAAAH9/+d8=")</f>
        <v>#REF!</v>
      </c>
      <c r="HQ59" t="e">
        <f>AND(#REF!,"AAAAAH9/+eA=")</f>
        <v>#REF!</v>
      </c>
      <c r="HR59" t="e">
        <f>AND(#REF!,"AAAAAH9/+eE=")</f>
        <v>#REF!</v>
      </c>
      <c r="HS59" t="e">
        <f>AND(#REF!,"AAAAAH9/+eI=")</f>
        <v>#REF!</v>
      </c>
      <c r="HT59" t="e">
        <f>AND(#REF!,"AAAAAH9/+eM=")</f>
        <v>#REF!</v>
      </c>
      <c r="HU59" t="e">
        <f>AND(#REF!,"AAAAAH9/+eQ=")</f>
        <v>#REF!</v>
      </c>
      <c r="HV59" t="e">
        <f>IF(#REF!,"AAAAAH9/+eU=",0)</f>
        <v>#REF!</v>
      </c>
      <c r="HW59" t="e">
        <f>AND(#REF!,"AAAAAH9/+eY=")</f>
        <v>#REF!</v>
      </c>
      <c r="HX59" t="e">
        <f>AND(#REF!,"AAAAAH9/+ec=")</f>
        <v>#REF!</v>
      </c>
      <c r="HY59" t="e">
        <f>AND(#REF!,"AAAAAH9/+eg=")</f>
        <v>#REF!</v>
      </c>
      <c r="HZ59" t="e">
        <f>AND(#REF!,"AAAAAH9/+ek=")</f>
        <v>#REF!</v>
      </c>
      <c r="IA59" t="e">
        <f>AND(#REF!,"AAAAAH9/+eo=")</f>
        <v>#REF!</v>
      </c>
      <c r="IB59" t="e">
        <f>AND(#REF!,"AAAAAH9/+es=")</f>
        <v>#REF!</v>
      </c>
      <c r="IC59" t="e">
        <f>AND(#REF!,"AAAAAH9/+ew=")</f>
        <v>#REF!</v>
      </c>
      <c r="ID59" t="e">
        <f>AND(#REF!,"AAAAAH9/+e0=")</f>
        <v>#REF!</v>
      </c>
      <c r="IE59" t="e">
        <f>AND(#REF!,"AAAAAH9/+e4=")</f>
        <v>#REF!</v>
      </c>
      <c r="IF59" t="e">
        <f>AND(#REF!,"AAAAAH9/+e8=")</f>
        <v>#REF!</v>
      </c>
      <c r="IG59" t="e">
        <f>AND(#REF!,"AAAAAH9/+fA=")</f>
        <v>#REF!</v>
      </c>
      <c r="IH59" t="e">
        <f>AND(#REF!,"AAAAAH9/+fE=")</f>
        <v>#REF!</v>
      </c>
      <c r="II59" t="e">
        <f>AND(#REF!,"AAAAAH9/+fI=")</f>
        <v>#REF!</v>
      </c>
      <c r="IJ59" t="e">
        <f>AND(#REF!,"AAAAAH9/+fM=")</f>
        <v>#REF!</v>
      </c>
      <c r="IK59" t="e">
        <f>AND(#REF!,"AAAAAH9/+fQ=")</f>
        <v>#REF!</v>
      </c>
      <c r="IL59" t="e">
        <f>AND(#REF!,"AAAAAH9/+fU=")</f>
        <v>#REF!</v>
      </c>
      <c r="IM59" t="e">
        <f>AND(#REF!,"AAAAAH9/+fY=")</f>
        <v>#REF!</v>
      </c>
      <c r="IN59" t="e">
        <f>AND(#REF!,"AAAAAH9/+fc=")</f>
        <v>#REF!</v>
      </c>
      <c r="IO59" t="e">
        <f>AND(#REF!,"AAAAAH9/+fg=")</f>
        <v>#REF!</v>
      </c>
      <c r="IP59" t="e">
        <f>AND(#REF!,"AAAAAH9/+fk=")</f>
        <v>#REF!</v>
      </c>
      <c r="IQ59" t="e">
        <f>AND(#REF!,"AAAAAH9/+fo=")</f>
        <v>#REF!</v>
      </c>
      <c r="IR59" t="e">
        <f>AND(#REF!,"AAAAAH9/+fs=")</f>
        <v>#REF!</v>
      </c>
      <c r="IS59" t="e">
        <f>AND(#REF!,"AAAAAH9/+fw=")</f>
        <v>#REF!</v>
      </c>
      <c r="IT59" t="e">
        <f>IF(#REF!,"AAAAAH9/+f0=",0)</f>
        <v>#REF!</v>
      </c>
      <c r="IU59" t="e">
        <f>AND(#REF!,"AAAAAH9/+f4=")</f>
        <v>#REF!</v>
      </c>
      <c r="IV59" t="e">
        <f>AND(#REF!,"AAAAAH9/+f8=")</f>
        <v>#REF!</v>
      </c>
    </row>
    <row r="60" spans="1:256" x14ac:dyDescent="0.15">
      <c r="A60" t="e">
        <f>AND(#REF!,"AAAAAE939gA=")</f>
        <v>#REF!</v>
      </c>
      <c r="B60" t="e">
        <f>AND(#REF!,"AAAAAE939gE=")</f>
        <v>#REF!</v>
      </c>
      <c r="C60" t="e">
        <f>AND(#REF!,"AAAAAE939gI=")</f>
        <v>#REF!</v>
      </c>
      <c r="D60" t="e">
        <f>AND(#REF!,"AAAAAE939gM=")</f>
        <v>#REF!</v>
      </c>
      <c r="E60" t="e">
        <f>AND(#REF!,"AAAAAE939gQ=")</f>
        <v>#REF!</v>
      </c>
      <c r="F60" t="e">
        <f>AND(#REF!,"AAAAAE939gU=")</f>
        <v>#REF!</v>
      </c>
      <c r="G60" t="e">
        <f>AND(#REF!,"AAAAAE939gY=")</f>
        <v>#REF!</v>
      </c>
      <c r="H60" t="e">
        <f>AND(#REF!,"AAAAAE939gc=")</f>
        <v>#REF!</v>
      </c>
      <c r="I60" t="e">
        <f>AND(#REF!,"AAAAAE939gg=")</f>
        <v>#REF!</v>
      </c>
      <c r="J60" t="e">
        <f>AND(#REF!,"AAAAAE939gk=")</f>
        <v>#REF!</v>
      </c>
      <c r="K60" t="e">
        <f>AND(#REF!,"AAAAAE939go=")</f>
        <v>#REF!</v>
      </c>
      <c r="L60" t="e">
        <f>AND(#REF!,"AAAAAE939gs=")</f>
        <v>#REF!</v>
      </c>
      <c r="M60" t="e">
        <f>AND(#REF!,"AAAAAE939gw=")</f>
        <v>#REF!</v>
      </c>
      <c r="N60" t="e">
        <f>AND(#REF!,"AAAAAE939g0=")</f>
        <v>#REF!</v>
      </c>
      <c r="O60" t="e">
        <f>AND(#REF!,"AAAAAE939g4=")</f>
        <v>#REF!</v>
      </c>
      <c r="P60" t="e">
        <f>AND(#REF!,"AAAAAE939g8=")</f>
        <v>#REF!</v>
      </c>
      <c r="Q60" t="e">
        <f>AND(#REF!,"AAAAAE939hA=")</f>
        <v>#REF!</v>
      </c>
      <c r="R60" t="e">
        <f>AND(#REF!,"AAAAAE939hE=")</f>
        <v>#REF!</v>
      </c>
      <c r="S60" t="e">
        <f>AND(#REF!,"AAAAAE939hI=")</f>
        <v>#REF!</v>
      </c>
      <c r="T60" t="e">
        <f>AND(#REF!,"AAAAAE939hM=")</f>
        <v>#REF!</v>
      </c>
      <c r="U60" t="e">
        <f>AND(#REF!,"AAAAAE939hQ=")</f>
        <v>#REF!</v>
      </c>
      <c r="V60" t="e">
        <f>IF(#REF!,"AAAAAE939hU=",0)</f>
        <v>#REF!</v>
      </c>
      <c r="W60" t="e">
        <f>AND(#REF!,"AAAAAE939hY=")</f>
        <v>#REF!</v>
      </c>
      <c r="X60" t="e">
        <f>AND(#REF!,"AAAAAE939hc=")</f>
        <v>#REF!</v>
      </c>
      <c r="Y60" t="e">
        <f>AND(#REF!,"AAAAAE939hg=")</f>
        <v>#REF!</v>
      </c>
      <c r="Z60" t="e">
        <f>AND(#REF!,"AAAAAE939hk=")</f>
        <v>#REF!</v>
      </c>
      <c r="AA60" t="e">
        <f>AND(#REF!,"AAAAAE939ho=")</f>
        <v>#REF!</v>
      </c>
      <c r="AB60" t="e">
        <f>AND(#REF!,"AAAAAE939hs=")</f>
        <v>#REF!</v>
      </c>
      <c r="AC60" t="e">
        <f>AND(#REF!,"AAAAAE939hw=")</f>
        <v>#REF!</v>
      </c>
      <c r="AD60" t="e">
        <f>AND(#REF!,"AAAAAE939h0=")</f>
        <v>#REF!</v>
      </c>
      <c r="AE60" t="e">
        <f>AND(#REF!,"AAAAAE939h4=")</f>
        <v>#REF!</v>
      </c>
      <c r="AF60" t="e">
        <f>AND(#REF!,"AAAAAE939h8=")</f>
        <v>#REF!</v>
      </c>
      <c r="AG60" t="e">
        <f>AND(#REF!,"AAAAAE939iA=")</f>
        <v>#REF!</v>
      </c>
      <c r="AH60" t="e">
        <f>AND(#REF!,"AAAAAE939iE=")</f>
        <v>#REF!</v>
      </c>
      <c r="AI60" t="e">
        <f>AND(#REF!,"AAAAAE939iI=")</f>
        <v>#REF!</v>
      </c>
      <c r="AJ60" t="e">
        <f>AND(#REF!,"AAAAAE939iM=")</f>
        <v>#REF!</v>
      </c>
      <c r="AK60" t="e">
        <f>AND(#REF!,"AAAAAE939iQ=")</f>
        <v>#REF!</v>
      </c>
      <c r="AL60" t="e">
        <f>AND(#REF!,"AAAAAE939iU=")</f>
        <v>#REF!</v>
      </c>
      <c r="AM60" t="e">
        <f>AND(#REF!,"AAAAAE939iY=")</f>
        <v>#REF!</v>
      </c>
      <c r="AN60" t="e">
        <f>AND(#REF!,"AAAAAE939ic=")</f>
        <v>#REF!</v>
      </c>
      <c r="AO60" t="e">
        <f>AND(#REF!,"AAAAAE939ig=")</f>
        <v>#REF!</v>
      </c>
      <c r="AP60" t="e">
        <f>AND(#REF!,"AAAAAE939ik=")</f>
        <v>#REF!</v>
      </c>
      <c r="AQ60" t="e">
        <f>AND(#REF!,"AAAAAE939io=")</f>
        <v>#REF!</v>
      </c>
      <c r="AR60" t="e">
        <f>AND(#REF!,"AAAAAE939is=")</f>
        <v>#REF!</v>
      </c>
      <c r="AS60" t="e">
        <f>AND(#REF!,"AAAAAE939iw=")</f>
        <v>#REF!</v>
      </c>
      <c r="AT60" t="e">
        <f>IF(#REF!,"AAAAAE939i0=",0)</f>
        <v>#REF!</v>
      </c>
      <c r="AU60" t="e">
        <f>AND(#REF!,"AAAAAE939i4=")</f>
        <v>#REF!</v>
      </c>
      <c r="AV60" t="e">
        <f>AND(#REF!,"AAAAAE939i8=")</f>
        <v>#REF!</v>
      </c>
      <c r="AW60" t="e">
        <f>AND(#REF!,"AAAAAE939jA=")</f>
        <v>#REF!</v>
      </c>
      <c r="AX60" t="e">
        <f>AND(#REF!,"AAAAAE939jE=")</f>
        <v>#REF!</v>
      </c>
      <c r="AY60" t="e">
        <f>AND(#REF!,"AAAAAE939jI=")</f>
        <v>#REF!</v>
      </c>
      <c r="AZ60" t="e">
        <f>AND(#REF!,"AAAAAE939jM=")</f>
        <v>#REF!</v>
      </c>
      <c r="BA60" t="e">
        <f>AND(#REF!,"AAAAAE939jQ=")</f>
        <v>#REF!</v>
      </c>
      <c r="BB60" t="e">
        <f>AND(#REF!,"AAAAAE939jU=")</f>
        <v>#REF!</v>
      </c>
      <c r="BC60" t="e">
        <f>AND(#REF!,"AAAAAE939jY=")</f>
        <v>#REF!</v>
      </c>
      <c r="BD60" t="e">
        <f>AND(#REF!,"AAAAAE939jc=")</f>
        <v>#REF!</v>
      </c>
      <c r="BE60" t="e">
        <f>AND(#REF!,"AAAAAE939jg=")</f>
        <v>#REF!</v>
      </c>
      <c r="BF60" t="e">
        <f>AND(#REF!,"AAAAAE939jk=")</f>
        <v>#REF!</v>
      </c>
      <c r="BG60" t="e">
        <f>AND(#REF!,"AAAAAE939jo=")</f>
        <v>#REF!</v>
      </c>
      <c r="BH60" t="e">
        <f>AND(#REF!,"AAAAAE939js=")</f>
        <v>#REF!</v>
      </c>
      <c r="BI60" t="e">
        <f>AND(#REF!,"AAAAAE939jw=")</f>
        <v>#REF!</v>
      </c>
      <c r="BJ60" t="e">
        <f>AND(#REF!,"AAAAAE939j0=")</f>
        <v>#REF!</v>
      </c>
      <c r="BK60" t="e">
        <f>AND(#REF!,"AAAAAE939j4=")</f>
        <v>#REF!</v>
      </c>
      <c r="BL60" t="e">
        <f>AND(#REF!,"AAAAAE939j8=")</f>
        <v>#REF!</v>
      </c>
      <c r="BM60" t="e">
        <f>AND(#REF!,"AAAAAE939kA=")</f>
        <v>#REF!</v>
      </c>
      <c r="BN60" t="e">
        <f>AND(#REF!,"AAAAAE939kE=")</f>
        <v>#REF!</v>
      </c>
      <c r="BO60" t="e">
        <f>AND(#REF!,"AAAAAE939kI=")</f>
        <v>#REF!</v>
      </c>
      <c r="BP60" t="e">
        <f>AND(#REF!,"AAAAAE939kM=")</f>
        <v>#REF!</v>
      </c>
      <c r="BQ60" t="e">
        <f>AND(#REF!,"AAAAAE939kQ=")</f>
        <v>#REF!</v>
      </c>
      <c r="BR60" t="e">
        <f>IF(#REF!,"AAAAAE939kU=",0)</f>
        <v>#REF!</v>
      </c>
      <c r="BS60" t="e">
        <f>AND(#REF!,"AAAAAE939kY=")</f>
        <v>#REF!</v>
      </c>
      <c r="BT60" t="e">
        <f>AND(#REF!,"AAAAAE939kc=")</f>
        <v>#REF!</v>
      </c>
      <c r="BU60" t="e">
        <f>AND(#REF!,"AAAAAE939kg=")</f>
        <v>#REF!</v>
      </c>
      <c r="BV60" t="e">
        <f>AND(#REF!,"AAAAAE939kk=")</f>
        <v>#REF!</v>
      </c>
      <c r="BW60" t="e">
        <f>AND(#REF!,"AAAAAE939ko=")</f>
        <v>#REF!</v>
      </c>
      <c r="BX60" t="e">
        <f>AND(#REF!,"AAAAAE939ks=")</f>
        <v>#REF!</v>
      </c>
      <c r="BY60" t="e">
        <f>AND(#REF!,"AAAAAE939kw=")</f>
        <v>#REF!</v>
      </c>
      <c r="BZ60" t="e">
        <f>AND(#REF!,"AAAAAE939k0=")</f>
        <v>#REF!</v>
      </c>
      <c r="CA60" t="e">
        <f>AND(#REF!,"AAAAAE939k4=")</f>
        <v>#REF!</v>
      </c>
      <c r="CB60" t="e">
        <f>AND(#REF!,"AAAAAE939k8=")</f>
        <v>#REF!</v>
      </c>
      <c r="CC60" t="e">
        <f>AND(#REF!,"AAAAAE939lA=")</f>
        <v>#REF!</v>
      </c>
      <c r="CD60" t="e">
        <f>AND(#REF!,"AAAAAE939lE=")</f>
        <v>#REF!</v>
      </c>
      <c r="CE60" t="e">
        <f>AND(#REF!,"AAAAAE939lI=")</f>
        <v>#REF!</v>
      </c>
      <c r="CF60" t="e">
        <f>AND(#REF!,"AAAAAE939lM=")</f>
        <v>#REF!</v>
      </c>
      <c r="CG60" t="e">
        <f>AND(#REF!,"AAAAAE939lQ=")</f>
        <v>#REF!</v>
      </c>
      <c r="CH60" t="e">
        <f>AND(#REF!,"AAAAAE939lU=")</f>
        <v>#REF!</v>
      </c>
      <c r="CI60" t="e">
        <f>AND(#REF!,"AAAAAE939lY=")</f>
        <v>#REF!</v>
      </c>
      <c r="CJ60" t="e">
        <f>AND(#REF!,"AAAAAE939lc=")</f>
        <v>#REF!</v>
      </c>
      <c r="CK60" t="e">
        <f>AND(#REF!,"AAAAAE939lg=")</f>
        <v>#REF!</v>
      </c>
      <c r="CL60" t="e">
        <f>AND(#REF!,"AAAAAE939lk=")</f>
        <v>#REF!</v>
      </c>
      <c r="CM60" t="e">
        <f>AND(#REF!,"AAAAAE939lo=")</f>
        <v>#REF!</v>
      </c>
      <c r="CN60" t="e">
        <f>AND(#REF!,"AAAAAE939ls=")</f>
        <v>#REF!</v>
      </c>
      <c r="CO60" t="e">
        <f>AND(#REF!,"AAAAAE939lw=")</f>
        <v>#REF!</v>
      </c>
      <c r="CP60" t="e">
        <f>IF(#REF!,"AAAAAE939l0=",0)</f>
        <v>#REF!</v>
      </c>
      <c r="CQ60" t="e">
        <f>AND(#REF!,"AAAAAE939l4=")</f>
        <v>#REF!</v>
      </c>
      <c r="CR60" t="e">
        <f>AND(#REF!,"AAAAAE939l8=")</f>
        <v>#REF!</v>
      </c>
      <c r="CS60" t="e">
        <f>AND(#REF!,"AAAAAE939mA=")</f>
        <v>#REF!</v>
      </c>
      <c r="CT60" t="e">
        <f>AND(#REF!,"AAAAAE939mE=")</f>
        <v>#REF!</v>
      </c>
      <c r="CU60" t="e">
        <f>AND(#REF!,"AAAAAE939mI=")</f>
        <v>#REF!</v>
      </c>
      <c r="CV60" t="e">
        <f>AND(#REF!,"AAAAAE939mM=")</f>
        <v>#REF!</v>
      </c>
      <c r="CW60" t="e">
        <f>AND(#REF!,"AAAAAE939mQ=")</f>
        <v>#REF!</v>
      </c>
      <c r="CX60" t="e">
        <f>AND(#REF!,"AAAAAE939mU=")</f>
        <v>#REF!</v>
      </c>
      <c r="CY60" t="e">
        <f>AND(#REF!,"AAAAAE939mY=")</f>
        <v>#REF!</v>
      </c>
      <c r="CZ60" t="e">
        <f>AND(#REF!,"AAAAAE939mc=")</f>
        <v>#REF!</v>
      </c>
      <c r="DA60" t="e">
        <f>AND(#REF!,"AAAAAE939mg=")</f>
        <v>#REF!</v>
      </c>
      <c r="DB60" t="e">
        <f>AND(#REF!,"AAAAAE939mk=")</f>
        <v>#REF!</v>
      </c>
      <c r="DC60" t="e">
        <f>AND(#REF!,"AAAAAE939mo=")</f>
        <v>#REF!</v>
      </c>
      <c r="DD60" t="e">
        <f>AND(#REF!,"AAAAAE939ms=")</f>
        <v>#REF!</v>
      </c>
      <c r="DE60" t="e">
        <f>AND(#REF!,"AAAAAE939mw=")</f>
        <v>#REF!</v>
      </c>
      <c r="DF60" t="e">
        <f>AND(#REF!,"AAAAAE939m0=")</f>
        <v>#REF!</v>
      </c>
      <c r="DG60" t="e">
        <f>AND(#REF!,"AAAAAE939m4=")</f>
        <v>#REF!</v>
      </c>
      <c r="DH60" t="e">
        <f>AND(#REF!,"AAAAAE939m8=")</f>
        <v>#REF!</v>
      </c>
      <c r="DI60" t="e">
        <f>AND(#REF!,"AAAAAE939nA=")</f>
        <v>#REF!</v>
      </c>
      <c r="DJ60" t="e">
        <f>AND(#REF!,"AAAAAE939nE=")</f>
        <v>#REF!</v>
      </c>
      <c r="DK60" t="e">
        <f>AND(#REF!,"AAAAAE939nI=")</f>
        <v>#REF!</v>
      </c>
      <c r="DL60" t="e">
        <f>AND(#REF!,"AAAAAE939nM=")</f>
        <v>#REF!</v>
      </c>
      <c r="DM60" t="e">
        <f>AND(#REF!,"AAAAAE939nQ=")</f>
        <v>#REF!</v>
      </c>
      <c r="DN60" t="e">
        <f>IF(#REF!,"AAAAAE939nU=",0)</f>
        <v>#REF!</v>
      </c>
      <c r="DO60" t="e">
        <f>AND(#REF!,"AAAAAE939nY=")</f>
        <v>#REF!</v>
      </c>
      <c r="DP60" t="e">
        <f>AND(#REF!,"AAAAAE939nc=")</f>
        <v>#REF!</v>
      </c>
      <c r="DQ60" t="e">
        <f>AND(#REF!,"AAAAAE939ng=")</f>
        <v>#REF!</v>
      </c>
      <c r="DR60" t="e">
        <f>AND(#REF!,"AAAAAE939nk=")</f>
        <v>#REF!</v>
      </c>
      <c r="DS60" t="e">
        <f>AND(#REF!,"AAAAAE939no=")</f>
        <v>#REF!</v>
      </c>
      <c r="DT60" t="e">
        <f>AND(#REF!,"AAAAAE939ns=")</f>
        <v>#REF!</v>
      </c>
      <c r="DU60" t="e">
        <f>AND(#REF!,"AAAAAE939nw=")</f>
        <v>#REF!</v>
      </c>
      <c r="DV60" t="e">
        <f>AND(#REF!,"AAAAAE939n0=")</f>
        <v>#REF!</v>
      </c>
      <c r="DW60" t="e">
        <f>AND(#REF!,"AAAAAE939n4=")</f>
        <v>#REF!</v>
      </c>
      <c r="DX60" t="e">
        <f>AND(#REF!,"AAAAAE939n8=")</f>
        <v>#REF!</v>
      </c>
      <c r="DY60" t="e">
        <f>AND(#REF!,"AAAAAE939oA=")</f>
        <v>#REF!</v>
      </c>
      <c r="DZ60" t="e">
        <f>AND(#REF!,"AAAAAE939oE=")</f>
        <v>#REF!</v>
      </c>
      <c r="EA60" t="e">
        <f>AND(#REF!,"AAAAAE939oI=")</f>
        <v>#REF!</v>
      </c>
      <c r="EB60" t="e">
        <f>AND(#REF!,"AAAAAE939oM=")</f>
        <v>#REF!</v>
      </c>
      <c r="EC60" t="e">
        <f>AND(#REF!,"AAAAAE939oQ=")</f>
        <v>#REF!</v>
      </c>
      <c r="ED60" t="e">
        <f>AND(#REF!,"AAAAAE939oU=")</f>
        <v>#REF!</v>
      </c>
      <c r="EE60" t="e">
        <f>AND(#REF!,"AAAAAE939oY=")</f>
        <v>#REF!</v>
      </c>
      <c r="EF60" t="e">
        <f>AND(#REF!,"AAAAAE939oc=")</f>
        <v>#REF!</v>
      </c>
      <c r="EG60" t="e">
        <f>AND(#REF!,"AAAAAE939og=")</f>
        <v>#REF!</v>
      </c>
      <c r="EH60" t="e">
        <f>AND(#REF!,"AAAAAE939ok=")</f>
        <v>#REF!</v>
      </c>
      <c r="EI60" t="e">
        <f>AND(#REF!,"AAAAAE939oo=")</f>
        <v>#REF!</v>
      </c>
      <c r="EJ60" t="e">
        <f>AND(#REF!,"AAAAAE939os=")</f>
        <v>#REF!</v>
      </c>
      <c r="EK60" t="e">
        <f>AND(#REF!,"AAAAAE939ow=")</f>
        <v>#REF!</v>
      </c>
      <c r="EL60" t="e">
        <f>IF(#REF!,"AAAAAE939o0=",0)</f>
        <v>#REF!</v>
      </c>
      <c r="EM60" t="e">
        <f>AND(#REF!,"AAAAAE939o4=")</f>
        <v>#REF!</v>
      </c>
      <c r="EN60" t="e">
        <f>AND(#REF!,"AAAAAE939o8=")</f>
        <v>#REF!</v>
      </c>
      <c r="EO60" t="e">
        <f>AND(#REF!,"AAAAAE939pA=")</f>
        <v>#REF!</v>
      </c>
      <c r="EP60" t="e">
        <f>AND(#REF!,"AAAAAE939pE=")</f>
        <v>#REF!</v>
      </c>
      <c r="EQ60" t="e">
        <f>AND(#REF!,"AAAAAE939pI=")</f>
        <v>#REF!</v>
      </c>
      <c r="ER60" t="e">
        <f>AND(#REF!,"AAAAAE939pM=")</f>
        <v>#REF!</v>
      </c>
      <c r="ES60" t="e">
        <f>AND(#REF!,"AAAAAE939pQ=")</f>
        <v>#REF!</v>
      </c>
      <c r="ET60" t="e">
        <f>AND(#REF!,"AAAAAE939pU=")</f>
        <v>#REF!</v>
      </c>
      <c r="EU60" t="e">
        <f>AND(#REF!,"AAAAAE939pY=")</f>
        <v>#REF!</v>
      </c>
      <c r="EV60" t="e">
        <f>AND(#REF!,"AAAAAE939pc=")</f>
        <v>#REF!</v>
      </c>
      <c r="EW60" t="e">
        <f>AND(#REF!,"AAAAAE939pg=")</f>
        <v>#REF!</v>
      </c>
      <c r="EX60" t="e">
        <f>AND(#REF!,"AAAAAE939pk=")</f>
        <v>#REF!</v>
      </c>
      <c r="EY60" t="e">
        <f>AND(#REF!,"AAAAAE939po=")</f>
        <v>#REF!</v>
      </c>
      <c r="EZ60" t="e">
        <f>AND(#REF!,"AAAAAE939ps=")</f>
        <v>#REF!</v>
      </c>
      <c r="FA60" t="e">
        <f>AND(#REF!,"AAAAAE939pw=")</f>
        <v>#REF!</v>
      </c>
      <c r="FB60" t="e">
        <f>AND(#REF!,"AAAAAE939p0=")</f>
        <v>#REF!</v>
      </c>
      <c r="FC60" t="e">
        <f>AND(#REF!,"AAAAAE939p4=")</f>
        <v>#REF!</v>
      </c>
      <c r="FD60" t="e">
        <f>AND(#REF!,"AAAAAE939p8=")</f>
        <v>#REF!</v>
      </c>
      <c r="FE60" t="e">
        <f>AND(#REF!,"AAAAAE939qA=")</f>
        <v>#REF!</v>
      </c>
      <c r="FF60" t="e">
        <f>AND(#REF!,"AAAAAE939qE=")</f>
        <v>#REF!</v>
      </c>
      <c r="FG60" t="e">
        <f>AND(#REF!,"AAAAAE939qI=")</f>
        <v>#REF!</v>
      </c>
      <c r="FH60" t="e">
        <f>AND(#REF!,"AAAAAE939qM=")</f>
        <v>#REF!</v>
      </c>
      <c r="FI60" t="e">
        <f>AND(#REF!,"AAAAAE939qQ=")</f>
        <v>#REF!</v>
      </c>
      <c r="FJ60" t="e">
        <f>IF(#REF!,"AAAAAE939qU=",0)</f>
        <v>#REF!</v>
      </c>
      <c r="FK60" t="e">
        <f>AND(#REF!,"AAAAAE939qY=")</f>
        <v>#REF!</v>
      </c>
      <c r="FL60" t="e">
        <f>AND(#REF!,"AAAAAE939qc=")</f>
        <v>#REF!</v>
      </c>
      <c r="FM60" t="e">
        <f>AND(#REF!,"AAAAAE939qg=")</f>
        <v>#REF!</v>
      </c>
      <c r="FN60" t="e">
        <f>AND(#REF!,"AAAAAE939qk=")</f>
        <v>#REF!</v>
      </c>
      <c r="FO60" t="e">
        <f>AND(#REF!,"AAAAAE939qo=")</f>
        <v>#REF!</v>
      </c>
      <c r="FP60" t="e">
        <f>AND(#REF!,"AAAAAE939qs=")</f>
        <v>#REF!</v>
      </c>
      <c r="FQ60" t="e">
        <f>AND(#REF!,"AAAAAE939qw=")</f>
        <v>#REF!</v>
      </c>
      <c r="FR60" t="e">
        <f>AND(#REF!,"AAAAAE939q0=")</f>
        <v>#REF!</v>
      </c>
      <c r="FS60" t="e">
        <f>AND(#REF!,"AAAAAE939q4=")</f>
        <v>#REF!</v>
      </c>
      <c r="FT60" t="e">
        <f>AND(#REF!,"AAAAAE939q8=")</f>
        <v>#REF!</v>
      </c>
      <c r="FU60" t="e">
        <f>AND(#REF!,"AAAAAE939rA=")</f>
        <v>#REF!</v>
      </c>
      <c r="FV60" t="e">
        <f>AND(#REF!,"AAAAAE939rE=")</f>
        <v>#REF!</v>
      </c>
      <c r="FW60" t="e">
        <f>AND(#REF!,"AAAAAE939rI=")</f>
        <v>#REF!</v>
      </c>
      <c r="FX60" t="e">
        <f>AND(#REF!,"AAAAAE939rM=")</f>
        <v>#REF!</v>
      </c>
      <c r="FY60" t="e">
        <f>AND(#REF!,"AAAAAE939rQ=")</f>
        <v>#REF!</v>
      </c>
      <c r="FZ60" t="e">
        <f>AND(#REF!,"AAAAAE939rU=")</f>
        <v>#REF!</v>
      </c>
      <c r="GA60" t="e">
        <f>AND(#REF!,"AAAAAE939rY=")</f>
        <v>#REF!</v>
      </c>
      <c r="GB60" t="e">
        <f>AND(#REF!,"AAAAAE939rc=")</f>
        <v>#REF!</v>
      </c>
      <c r="GC60" t="e">
        <f>AND(#REF!,"AAAAAE939rg=")</f>
        <v>#REF!</v>
      </c>
      <c r="GD60" t="e">
        <f>AND(#REF!,"AAAAAE939rk=")</f>
        <v>#REF!</v>
      </c>
      <c r="GE60" t="e">
        <f>AND(#REF!,"AAAAAE939ro=")</f>
        <v>#REF!</v>
      </c>
      <c r="GF60" t="e">
        <f>AND(#REF!,"AAAAAE939rs=")</f>
        <v>#REF!</v>
      </c>
      <c r="GG60" t="e">
        <f>AND(#REF!,"AAAAAE939rw=")</f>
        <v>#REF!</v>
      </c>
      <c r="GH60" t="e">
        <f>IF(#REF!,"AAAAAE939r0=",0)</f>
        <v>#REF!</v>
      </c>
      <c r="GI60" t="e">
        <f>AND(#REF!,"AAAAAE939r4=")</f>
        <v>#REF!</v>
      </c>
      <c r="GJ60" t="e">
        <f>AND(#REF!,"AAAAAE939r8=")</f>
        <v>#REF!</v>
      </c>
      <c r="GK60" t="e">
        <f>AND(#REF!,"AAAAAE939sA=")</f>
        <v>#REF!</v>
      </c>
      <c r="GL60" t="e">
        <f>AND(#REF!,"AAAAAE939sE=")</f>
        <v>#REF!</v>
      </c>
      <c r="GM60" t="e">
        <f>AND(#REF!,"AAAAAE939sI=")</f>
        <v>#REF!</v>
      </c>
      <c r="GN60" t="e">
        <f>AND(#REF!,"AAAAAE939sM=")</f>
        <v>#REF!</v>
      </c>
      <c r="GO60" t="e">
        <f>AND(#REF!,"AAAAAE939sQ=")</f>
        <v>#REF!</v>
      </c>
      <c r="GP60" t="e">
        <f>AND(#REF!,"AAAAAE939sU=")</f>
        <v>#REF!</v>
      </c>
      <c r="GQ60" t="e">
        <f>AND(#REF!,"AAAAAE939sY=")</f>
        <v>#REF!</v>
      </c>
      <c r="GR60" t="e">
        <f>AND(#REF!,"AAAAAE939sc=")</f>
        <v>#REF!</v>
      </c>
      <c r="GS60" t="e">
        <f>AND(#REF!,"AAAAAE939sg=")</f>
        <v>#REF!</v>
      </c>
      <c r="GT60" t="e">
        <f>AND(#REF!,"AAAAAE939sk=")</f>
        <v>#REF!</v>
      </c>
      <c r="GU60" t="e">
        <f>AND(#REF!,"AAAAAE939so=")</f>
        <v>#REF!</v>
      </c>
      <c r="GV60" t="e">
        <f>AND(#REF!,"AAAAAE939ss=")</f>
        <v>#REF!</v>
      </c>
      <c r="GW60" t="e">
        <f>AND(#REF!,"AAAAAE939sw=")</f>
        <v>#REF!</v>
      </c>
      <c r="GX60" t="e">
        <f>AND(#REF!,"AAAAAE939s0=")</f>
        <v>#REF!</v>
      </c>
      <c r="GY60" t="e">
        <f>AND(#REF!,"AAAAAE939s4=")</f>
        <v>#REF!</v>
      </c>
      <c r="GZ60" t="e">
        <f>AND(#REF!,"AAAAAE939s8=")</f>
        <v>#REF!</v>
      </c>
      <c r="HA60" t="e">
        <f>AND(#REF!,"AAAAAE939tA=")</f>
        <v>#REF!</v>
      </c>
      <c r="HB60" t="e">
        <f>AND(#REF!,"AAAAAE939tE=")</f>
        <v>#REF!</v>
      </c>
      <c r="HC60" t="e">
        <f>AND(#REF!,"AAAAAE939tI=")</f>
        <v>#REF!</v>
      </c>
      <c r="HD60" t="e">
        <f>AND(#REF!,"AAAAAE939tM=")</f>
        <v>#REF!</v>
      </c>
      <c r="HE60" t="e">
        <f>AND(#REF!,"AAAAAE939tQ=")</f>
        <v>#REF!</v>
      </c>
      <c r="HF60" t="e">
        <f>IF(#REF!,"AAAAAE939tU=",0)</f>
        <v>#REF!</v>
      </c>
      <c r="HG60" t="e">
        <f>AND(#REF!,"AAAAAE939tY=")</f>
        <v>#REF!</v>
      </c>
      <c r="HH60" t="e">
        <f>AND(#REF!,"AAAAAE939tc=")</f>
        <v>#REF!</v>
      </c>
      <c r="HI60" t="e">
        <f>AND(#REF!,"AAAAAE939tg=")</f>
        <v>#REF!</v>
      </c>
      <c r="HJ60" t="e">
        <f>AND(#REF!,"AAAAAE939tk=")</f>
        <v>#REF!</v>
      </c>
      <c r="HK60" t="e">
        <f>AND(#REF!,"AAAAAE939to=")</f>
        <v>#REF!</v>
      </c>
      <c r="HL60" t="e">
        <f>AND(#REF!,"AAAAAE939ts=")</f>
        <v>#REF!</v>
      </c>
      <c r="HM60" t="e">
        <f>AND(#REF!,"AAAAAE939tw=")</f>
        <v>#REF!</v>
      </c>
      <c r="HN60" t="e">
        <f>AND(#REF!,"AAAAAE939t0=")</f>
        <v>#REF!</v>
      </c>
      <c r="HO60" t="e">
        <f>AND(#REF!,"AAAAAE939t4=")</f>
        <v>#REF!</v>
      </c>
      <c r="HP60" t="e">
        <f>AND(#REF!,"AAAAAE939t8=")</f>
        <v>#REF!</v>
      </c>
      <c r="HQ60" t="e">
        <f>AND(#REF!,"AAAAAE939uA=")</f>
        <v>#REF!</v>
      </c>
      <c r="HR60" t="e">
        <f>AND(#REF!,"AAAAAE939uE=")</f>
        <v>#REF!</v>
      </c>
      <c r="HS60" t="e">
        <f>AND(#REF!,"AAAAAE939uI=")</f>
        <v>#REF!</v>
      </c>
      <c r="HT60" t="e">
        <f>AND(#REF!,"AAAAAE939uM=")</f>
        <v>#REF!</v>
      </c>
      <c r="HU60" t="e">
        <f>AND(#REF!,"AAAAAE939uQ=")</f>
        <v>#REF!</v>
      </c>
      <c r="HV60" t="e">
        <f>AND(#REF!,"AAAAAE939uU=")</f>
        <v>#REF!</v>
      </c>
      <c r="HW60" t="e">
        <f>AND(#REF!,"AAAAAE939uY=")</f>
        <v>#REF!</v>
      </c>
      <c r="HX60" t="e">
        <f>AND(#REF!,"AAAAAE939uc=")</f>
        <v>#REF!</v>
      </c>
      <c r="HY60" t="e">
        <f>AND(#REF!,"AAAAAE939ug=")</f>
        <v>#REF!</v>
      </c>
      <c r="HZ60" t="e">
        <f>AND(#REF!,"AAAAAE939uk=")</f>
        <v>#REF!</v>
      </c>
      <c r="IA60" t="e">
        <f>AND(#REF!,"AAAAAE939uo=")</f>
        <v>#REF!</v>
      </c>
      <c r="IB60" t="e">
        <f>AND(#REF!,"AAAAAE939us=")</f>
        <v>#REF!</v>
      </c>
      <c r="IC60" t="e">
        <f>AND(#REF!,"AAAAAE939uw=")</f>
        <v>#REF!</v>
      </c>
      <c r="ID60" t="e">
        <f>IF(#REF!,"AAAAAE939u0=",0)</f>
        <v>#REF!</v>
      </c>
      <c r="IE60" t="e">
        <f>AND(#REF!,"AAAAAE939u4=")</f>
        <v>#REF!</v>
      </c>
      <c r="IF60" t="e">
        <f>AND(#REF!,"AAAAAE939u8=")</f>
        <v>#REF!</v>
      </c>
      <c r="IG60" t="e">
        <f>AND(#REF!,"AAAAAE939vA=")</f>
        <v>#REF!</v>
      </c>
      <c r="IH60" t="e">
        <f>AND(#REF!,"AAAAAE939vE=")</f>
        <v>#REF!</v>
      </c>
      <c r="II60" t="e">
        <f>AND(#REF!,"AAAAAE939vI=")</f>
        <v>#REF!</v>
      </c>
      <c r="IJ60" t="e">
        <f>AND(#REF!,"AAAAAE939vM=")</f>
        <v>#REF!</v>
      </c>
      <c r="IK60" t="e">
        <f>AND(#REF!,"AAAAAE939vQ=")</f>
        <v>#REF!</v>
      </c>
      <c r="IL60" t="e">
        <f>AND(#REF!,"AAAAAE939vU=")</f>
        <v>#REF!</v>
      </c>
      <c r="IM60" t="e">
        <f>AND(#REF!,"AAAAAE939vY=")</f>
        <v>#REF!</v>
      </c>
      <c r="IN60" t="e">
        <f>AND(#REF!,"AAAAAE939vc=")</f>
        <v>#REF!</v>
      </c>
      <c r="IO60" t="e">
        <f>AND(#REF!,"AAAAAE939vg=")</f>
        <v>#REF!</v>
      </c>
      <c r="IP60" t="e">
        <f>AND(#REF!,"AAAAAE939vk=")</f>
        <v>#REF!</v>
      </c>
      <c r="IQ60" t="e">
        <f>AND(#REF!,"AAAAAE939vo=")</f>
        <v>#REF!</v>
      </c>
      <c r="IR60" t="e">
        <f>AND(#REF!,"AAAAAE939vs=")</f>
        <v>#REF!</v>
      </c>
      <c r="IS60" t="e">
        <f>AND(#REF!,"AAAAAE939vw=")</f>
        <v>#REF!</v>
      </c>
      <c r="IT60" t="e">
        <f>AND(#REF!,"AAAAAE939v0=")</f>
        <v>#REF!</v>
      </c>
      <c r="IU60" t="e">
        <f>AND(#REF!,"AAAAAE939v4=")</f>
        <v>#REF!</v>
      </c>
      <c r="IV60" t="e">
        <f>AND(#REF!,"AAAAAE939v8=")</f>
        <v>#REF!</v>
      </c>
    </row>
    <row r="61" spans="1:256" x14ac:dyDescent="0.15">
      <c r="A61" t="e">
        <f>AND(#REF!,"AAAAAHr97QA=")</f>
        <v>#REF!</v>
      </c>
      <c r="B61" t="e">
        <f>AND(#REF!,"AAAAAHr97QE=")</f>
        <v>#REF!</v>
      </c>
      <c r="C61" t="e">
        <f>AND(#REF!,"AAAAAHr97QI=")</f>
        <v>#REF!</v>
      </c>
      <c r="D61" t="e">
        <f>AND(#REF!,"AAAAAHr97QM=")</f>
        <v>#REF!</v>
      </c>
      <c r="E61" t="e">
        <f>AND(#REF!,"AAAAAHr97QQ=")</f>
        <v>#REF!</v>
      </c>
      <c r="F61" t="e">
        <f>IF(#REF!,"AAAAAHr97QU=",0)</f>
        <v>#REF!</v>
      </c>
      <c r="G61" t="e">
        <f>AND(#REF!,"AAAAAHr97QY=")</f>
        <v>#REF!</v>
      </c>
      <c r="H61" t="e">
        <f>AND(#REF!,"AAAAAHr97Qc=")</f>
        <v>#REF!</v>
      </c>
      <c r="I61" t="e">
        <f>AND(#REF!,"AAAAAHr97Qg=")</f>
        <v>#REF!</v>
      </c>
      <c r="J61" t="e">
        <f>AND(#REF!,"AAAAAHr97Qk=")</f>
        <v>#REF!</v>
      </c>
      <c r="K61" t="e">
        <f>AND(#REF!,"AAAAAHr97Qo=")</f>
        <v>#REF!</v>
      </c>
      <c r="L61" t="e">
        <f>AND(#REF!,"AAAAAHr97Qs=")</f>
        <v>#REF!</v>
      </c>
      <c r="M61" t="e">
        <f>AND(#REF!,"AAAAAHr97Qw=")</f>
        <v>#REF!</v>
      </c>
      <c r="N61" t="e">
        <f>AND(#REF!,"AAAAAHr97Q0=")</f>
        <v>#REF!</v>
      </c>
      <c r="O61" t="e">
        <f>AND(#REF!,"AAAAAHr97Q4=")</f>
        <v>#REF!</v>
      </c>
      <c r="P61" t="e">
        <f>AND(#REF!,"AAAAAHr97Q8=")</f>
        <v>#REF!</v>
      </c>
      <c r="Q61" t="e">
        <f>AND(#REF!,"AAAAAHr97RA=")</f>
        <v>#REF!</v>
      </c>
      <c r="R61" t="e">
        <f>AND(#REF!,"AAAAAHr97RE=")</f>
        <v>#REF!</v>
      </c>
      <c r="S61" t="e">
        <f>AND(#REF!,"AAAAAHr97RI=")</f>
        <v>#REF!</v>
      </c>
      <c r="T61" t="e">
        <f>AND(#REF!,"AAAAAHr97RM=")</f>
        <v>#REF!</v>
      </c>
      <c r="U61" t="e">
        <f>AND(#REF!,"AAAAAHr97RQ=")</f>
        <v>#REF!</v>
      </c>
      <c r="V61" t="e">
        <f>AND(#REF!,"AAAAAHr97RU=")</f>
        <v>#REF!</v>
      </c>
      <c r="W61" t="e">
        <f>AND(#REF!,"AAAAAHr97RY=")</f>
        <v>#REF!</v>
      </c>
      <c r="X61" t="e">
        <f>AND(#REF!,"AAAAAHr97Rc=")</f>
        <v>#REF!</v>
      </c>
      <c r="Y61" t="e">
        <f>AND(#REF!,"AAAAAHr97Rg=")</f>
        <v>#REF!</v>
      </c>
      <c r="Z61" t="e">
        <f>AND(#REF!,"AAAAAHr97Rk=")</f>
        <v>#REF!</v>
      </c>
      <c r="AA61" t="e">
        <f>AND(#REF!,"AAAAAHr97Ro=")</f>
        <v>#REF!</v>
      </c>
      <c r="AB61" t="e">
        <f>AND(#REF!,"AAAAAHr97Rs=")</f>
        <v>#REF!</v>
      </c>
      <c r="AC61" t="e">
        <f>AND(#REF!,"AAAAAHr97Rw=")</f>
        <v>#REF!</v>
      </c>
      <c r="AD61" t="e">
        <f>IF(#REF!,"AAAAAHr97R0=",0)</f>
        <v>#REF!</v>
      </c>
      <c r="AE61" t="e">
        <f>AND(#REF!,"AAAAAHr97R4=")</f>
        <v>#REF!</v>
      </c>
      <c r="AF61" t="e">
        <f>AND(#REF!,"AAAAAHr97R8=")</f>
        <v>#REF!</v>
      </c>
      <c r="AG61" t="e">
        <f>AND(#REF!,"AAAAAHr97SA=")</f>
        <v>#REF!</v>
      </c>
      <c r="AH61" t="e">
        <f>AND(#REF!,"AAAAAHr97SE=")</f>
        <v>#REF!</v>
      </c>
      <c r="AI61" t="e">
        <f>AND(#REF!,"AAAAAHr97SI=")</f>
        <v>#REF!</v>
      </c>
      <c r="AJ61" t="e">
        <f>AND(#REF!,"AAAAAHr97SM=")</f>
        <v>#REF!</v>
      </c>
      <c r="AK61" t="e">
        <f>AND(#REF!,"AAAAAHr97SQ=")</f>
        <v>#REF!</v>
      </c>
      <c r="AL61" t="e">
        <f>AND(#REF!,"AAAAAHr97SU=")</f>
        <v>#REF!</v>
      </c>
      <c r="AM61" t="e">
        <f>AND(#REF!,"AAAAAHr97SY=")</f>
        <v>#REF!</v>
      </c>
      <c r="AN61" t="e">
        <f>AND(#REF!,"AAAAAHr97Sc=")</f>
        <v>#REF!</v>
      </c>
      <c r="AO61" t="e">
        <f>AND(#REF!,"AAAAAHr97Sg=")</f>
        <v>#REF!</v>
      </c>
      <c r="AP61" t="e">
        <f>AND(#REF!,"AAAAAHr97Sk=")</f>
        <v>#REF!</v>
      </c>
      <c r="AQ61" t="e">
        <f>AND(#REF!,"AAAAAHr97So=")</f>
        <v>#REF!</v>
      </c>
      <c r="AR61" t="e">
        <f>AND(#REF!,"AAAAAHr97Ss=")</f>
        <v>#REF!</v>
      </c>
      <c r="AS61" t="e">
        <f>AND(#REF!,"AAAAAHr97Sw=")</f>
        <v>#REF!</v>
      </c>
      <c r="AT61" t="e">
        <f>AND(#REF!,"AAAAAHr97S0=")</f>
        <v>#REF!</v>
      </c>
      <c r="AU61" t="e">
        <f>AND(#REF!,"AAAAAHr97S4=")</f>
        <v>#REF!</v>
      </c>
      <c r="AV61" t="e">
        <f>AND(#REF!,"AAAAAHr97S8=")</f>
        <v>#REF!</v>
      </c>
      <c r="AW61" t="e">
        <f>AND(#REF!,"AAAAAHr97TA=")</f>
        <v>#REF!</v>
      </c>
      <c r="AX61" t="e">
        <f>AND(#REF!,"AAAAAHr97TE=")</f>
        <v>#REF!</v>
      </c>
      <c r="AY61" t="e">
        <f>AND(#REF!,"AAAAAHr97TI=")</f>
        <v>#REF!</v>
      </c>
      <c r="AZ61" t="e">
        <f>AND(#REF!,"AAAAAHr97TM=")</f>
        <v>#REF!</v>
      </c>
      <c r="BA61" t="e">
        <f>AND(#REF!,"AAAAAHr97TQ=")</f>
        <v>#REF!</v>
      </c>
      <c r="BB61" t="e">
        <f>IF(#REF!,"AAAAAHr97TU=",0)</f>
        <v>#REF!</v>
      </c>
      <c r="BC61" t="e">
        <f>AND(#REF!,"AAAAAHr97TY=")</f>
        <v>#REF!</v>
      </c>
      <c r="BD61" t="e">
        <f>AND(#REF!,"AAAAAHr97Tc=")</f>
        <v>#REF!</v>
      </c>
      <c r="BE61" t="e">
        <f>AND(#REF!,"AAAAAHr97Tg=")</f>
        <v>#REF!</v>
      </c>
      <c r="BF61" t="e">
        <f>AND(#REF!,"AAAAAHr97Tk=")</f>
        <v>#REF!</v>
      </c>
      <c r="BG61" t="e">
        <f>AND(#REF!,"AAAAAHr97To=")</f>
        <v>#REF!</v>
      </c>
      <c r="BH61" t="e">
        <f>AND(#REF!,"AAAAAHr97Ts=")</f>
        <v>#REF!</v>
      </c>
      <c r="BI61" t="e">
        <f>AND(#REF!,"AAAAAHr97Tw=")</f>
        <v>#REF!</v>
      </c>
      <c r="BJ61" t="e">
        <f>AND(#REF!,"AAAAAHr97T0=")</f>
        <v>#REF!</v>
      </c>
      <c r="BK61" t="e">
        <f>AND(#REF!,"AAAAAHr97T4=")</f>
        <v>#REF!</v>
      </c>
      <c r="BL61" t="e">
        <f>AND(#REF!,"AAAAAHr97T8=")</f>
        <v>#REF!</v>
      </c>
      <c r="BM61" t="e">
        <f>AND(#REF!,"AAAAAHr97UA=")</f>
        <v>#REF!</v>
      </c>
      <c r="BN61" t="e">
        <f>AND(#REF!,"AAAAAHr97UE=")</f>
        <v>#REF!</v>
      </c>
      <c r="BO61" t="e">
        <f>AND(#REF!,"AAAAAHr97UI=")</f>
        <v>#REF!</v>
      </c>
      <c r="BP61" t="e">
        <f>AND(#REF!,"AAAAAHr97UM=")</f>
        <v>#REF!</v>
      </c>
      <c r="BQ61" t="e">
        <f>AND(#REF!,"AAAAAHr97UQ=")</f>
        <v>#REF!</v>
      </c>
      <c r="BR61" t="e">
        <f>AND(#REF!,"AAAAAHr97UU=")</f>
        <v>#REF!</v>
      </c>
      <c r="BS61" t="e">
        <f>AND(#REF!,"AAAAAHr97UY=")</f>
        <v>#REF!</v>
      </c>
      <c r="BT61" t="e">
        <f>AND(#REF!,"AAAAAHr97Uc=")</f>
        <v>#REF!</v>
      </c>
      <c r="BU61" t="e">
        <f>AND(#REF!,"AAAAAHr97Ug=")</f>
        <v>#REF!</v>
      </c>
      <c r="BV61" t="e">
        <f>AND(#REF!,"AAAAAHr97Uk=")</f>
        <v>#REF!</v>
      </c>
      <c r="BW61" t="e">
        <f>AND(#REF!,"AAAAAHr97Uo=")</f>
        <v>#REF!</v>
      </c>
      <c r="BX61" t="e">
        <f>AND(#REF!,"AAAAAHr97Us=")</f>
        <v>#REF!</v>
      </c>
      <c r="BY61" t="e">
        <f>AND(#REF!,"AAAAAHr97Uw=")</f>
        <v>#REF!</v>
      </c>
      <c r="BZ61" t="e">
        <f>IF(#REF!,"AAAAAHr97U0=",0)</f>
        <v>#REF!</v>
      </c>
      <c r="CA61" t="e">
        <f>AND(#REF!,"AAAAAHr97U4=")</f>
        <v>#REF!</v>
      </c>
      <c r="CB61" t="e">
        <f>AND(#REF!,"AAAAAHr97U8=")</f>
        <v>#REF!</v>
      </c>
      <c r="CC61" t="e">
        <f>AND(#REF!,"AAAAAHr97VA=")</f>
        <v>#REF!</v>
      </c>
      <c r="CD61" t="e">
        <f>AND(#REF!,"AAAAAHr97VE=")</f>
        <v>#REF!</v>
      </c>
      <c r="CE61" t="e">
        <f>AND(#REF!,"AAAAAHr97VI=")</f>
        <v>#REF!</v>
      </c>
      <c r="CF61" t="e">
        <f>AND(#REF!,"AAAAAHr97VM=")</f>
        <v>#REF!</v>
      </c>
      <c r="CG61" t="e">
        <f>AND(#REF!,"AAAAAHr97VQ=")</f>
        <v>#REF!</v>
      </c>
      <c r="CH61" t="e">
        <f>AND(#REF!,"AAAAAHr97VU=")</f>
        <v>#REF!</v>
      </c>
      <c r="CI61" t="e">
        <f>AND(#REF!,"AAAAAHr97VY=")</f>
        <v>#REF!</v>
      </c>
      <c r="CJ61" t="e">
        <f>AND(#REF!,"AAAAAHr97Vc=")</f>
        <v>#REF!</v>
      </c>
      <c r="CK61" t="e">
        <f>AND(#REF!,"AAAAAHr97Vg=")</f>
        <v>#REF!</v>
      </c>
      <c r="CL61" t="e">
        <f>AND(#REF!,"AAAAAHr97Vk=")</f>
        <v>#REF!</v>
      </c>
      <c r="CM61" t="e">
        <f>AND(#REF!,"AAAAAHr97Vo=")</f>
        <v>#REF!</v>
      </c>
      <c r="CN61" t="e">
        <f>AND(#REF!,"AAAAAHr97Vs=")</f>
        <v>#REF!</v>
      </c>
      <c r="CO61" t="e">
        <f>AND(#REF!,"AAAAAHr97Vw=")</f>
        <v>#REF!</v>
      </c>
      <c r="CP61" t="e">
        <f>AND(#REF!,"AAAAAHr97V0=")</f>
        <v>#REF!</v>
      </c>
      <c r="CQ61" t="e">
        <f>AND(#REF!,"AAAAAHr97V4=")</f>
        <v>#REF!</v>
      </c>
      <c r="CR61" t="e">
        <f>AND(#REF!,"AAAAAHr97V8=")</f>
        <v>#REF!</v>
      </c>
      <c r="CS61" t="e">
        <f>AND(#REF!,"AAAAAHr97WA=")</f>
        <v>#REF!</v>
      </c>
      <c r="CT61" t="e">
        <f>AND(#REF!,"AAAAAHr97WE=")</f>
        <v>#REF!</v>
      </c>
      <c r="CU61" t="e">
        <f>AND(#REF!,"AAAAAHr97WI=")</f>
        <v>#REF!</v>
      </c>
      <c r="CV61" t="e">
        <f>AND(#REF!,"AAAAAHr97WM=")</f>
        <v>#REF!</v>
      </c>
      <c r="CW61" t="e">
        <f>AND(#REF!,"AAAAAHr97WQ=")</f>
        <v>#REF!</v>
      </c>
      <c r="CX61" t="e">
        <f>IF(#REF!,"AAAAAHr97WU=",0)</f>
        <v>#REF!</v>
      </c>
      <c r="CY61" t="e">
        <f>AND(#REF!,"AAAAAHr97WY=")</f>
        <v>#REF!</v>
      </c>
      <c r="CZ61" t="e">
        <f>AND(#REF!,"AAAAAHr97Wc=")</f>
        <v>#REF!</v>
      </c>
      <c r="DA61" t="e">
        <f>AND(#REF!,"AAAAAHr97Wg=")</f>
        <v>#REF!</v>
      </c>
      <c r="DB61" t="e">
        <f>AND(#REF!,"AAAAAHr97Wk=")</f>
        <v>#REF!</v>
      </c>
      <c r="DC61" t="e">
        <f>AND(#REF!,"AAAAAHr97Wo=")</f>
        <v>#REF!</v>
      </c>
      <c r="DD61" t="e">
        <f>AND(#REF!,"AAAAAHr97Ws=")</f>
        <v>#REF!</v>
      </c>
      <c r="DE61" t="e">
        <f>AND(#REF!,"AAAAAHr97Ww=")</f>
        <v>#REF!</v>
      </c>
      <c r="DF61" t="e">
        <f>AND(#REF!,"AAAAAHr97W0=")</f>
        <v>#REF!</v>
      </c>
      <c r="DG61" t="e">
        <f>AND(#REF!,"AAAAAHr97W4=")</f>
        <v>#REF!</v>
      </c>
      <c r="DH61" t="e">
        <f>AND(#REF!,"AAAAAHr97W8=")</f>
        <v>#REF!</v>
      </c>
      <c r="DI61" t="e">
        <f>AND(#REF!,"AAAAAHr97XA=")</f>
        <v>#REF!</v>
      </c>
      <c r="DJ61" t="e">
        <f>AND(#REF!,"AAAAAHr97XE=")</f>
        <v>#REF!</v>
      </c>
      <c r="DK61" t="e">
        <f>AND(#REF!,"AAAAAHr97XI=")</f>
        <v>#REF!</v>
      </c>
      <c r="DL61" t="e">
        <f>AND(#REF!,"AAAAAHr97XM=")</f>
        <v>#REF!</v>
      </c>
      <c r="DM61" t="e">
        <f>AND(#REF!,"AAAAAHr97XQ=")</f>
        <v>#REF!</v>
      </c>
      <c r="DN61" t="e">
        <f>AND(#REF!,"AAAAAHr97XU=")</f>
        <v>#REF!</v>
      </c>
      <c r="DO61" t="e">
        <f>AND(#REF!,"AAAAAHr97XY=")</f>
        <v>#REF!</v>
      </c>
      <c r="DP61" t="e">
        <f>AND(#REF!,"AAAAAHr97Xc=")</f>
        <v>#REF!</v>
      </c>
      <c r="DQ61" t="e">
        <f>AND(#REF!,"AAAAAHr97Xg=")</f>
        <v>#REF!</v>
      </c>
      <c r="DR61" t="e">
        <f>AND(#REF!,"AAAAAHr97Xk=")</f>
        <v>#REF!</v>
      </c>
      <c r="DS61" t="e">
        <f>AND(#REF!,"AAAAAHr97Xo=")</f>
        <v>#REF!</v>
      </c>
      <c r="DT61" t="e">
        <f>AND(#REF!,"AAAAAHr97Xs=")</f>
        <v>#REF!</v>
      </c>
      <c r="DU61" t="e">
        <f>AND(#REF!,"AAAAAHr97Xw=")</f>
        <v>#REF!</v>
      </c>
      <c r="DV61" t="e">
        <f>IF(#REF!,"AAAAAHr97X0=",0)</f>
        <v>#REF!</v>
      </c>
      <c r="DW61" t="e">
        <f>AND(#REF!,"AAAAAHr97X4=")</f>
        <v>#REF!</v>
      </c>
      <c r="DX61" t="e">
        <f>AND(#REF!,"AAAAAHr97X8=")</f>
        <v>#REF!</v>
      </c>
      <c r="DY61" t="e">
        <f>AND(#REF!,"AAAAAHr97YA=")</f>
        <v>#REF!</v>
      </c>
      <c r="DZ61" t="e">
        <f>AND(#REF!,"AAAAAHr97YE=")</f>
        <v>#REF!</v>
      </c>
      <c r="EA61" t="e">
        <f>AND(#REF!,"AAAAAHr97YI=")</f>
        <v>#REF!</v>
      </c>
      <c r="EB61" t="e">
        <f>AND(#REF!,"AAAAAHr97YM=")</f>
        <v>#REF!</v>
      </c>
      <c r="EC61" t="e">
        <f>AND(#REF!,"AAAAAHr97YQ=")</f>
        <v>#REF!</v>
      </c>
      <c r="ED61" t="e">
        <f>AND(#REF!,"AAAAAHr97YU=")</f>
        <v>#REF!</v>
      </c>
      <c r="EE61" t="e">
        <f>AND(#REF!,"AAAAAHr97YY=")</f>
        <v>#REF!</v>
      </c>
      <c r="EF61" t="e">
        <f>AND(#REF!,"AAAAAHr97Yc=")</f>
        <v>#REF!</v>
      </c>
      <c r="EG61" t="e">
        <f>AND(#REF!,"AAAAAHr97Yg=")</f>
        <v>#REF!</v>
      </c>
      <c r="EH61" t="e">
        <f>AND(#REF!,"AAAAAHr97Yk=")</f>
        <v>#REF!</v>
      </c>
      <c r="EI61" t="e">
        <f>AND(#REF!,"AAAAAHr97Yo=")</f>
        <v>#REF!</v>
      </c>
      <c r="EJ61" t="e">
        <f>AND(#REF!,"AAAAAHr97Ys=")</f>
        <v>#REF!</v>
      </c>
      <c r="EK61" t="e">
        <f>AND(#REF!,"AAAAAHr97Yw=")</f>
        <v>#REF!</v>
      </c>
      <c r="EL61" t="e">
        <f>AND(#REF!,"AAAAAHr97Y0=")</f>
        <v>#REF!</v>
      </c>
      <c r="EM61" t="e">
        <f>AND(#REF!,"AAAAAHr97Y4=")</f>
        <v>#REF!</v>
      </c>
      <c r="EN61" t="e">
        <f>AND(#REF!,"AAAAAHr97Y8=")</f>
        <v>#REF!</v>
      </c>
      <c r="EO61" t="e">
        <f>AND(#REF!,"AAAAAHr97ZA=")</f>
        <v>#REF!</v>
      </c>
      <c r="EP61" t="e">
        <f>AND(#REF!,"AAAAAHr97ZE=")</f>
        <v>#REF!</v>
      </c>
      <c r="EQ61" t="e">
        <f>AND(#REF!,"AAAAAHr97ZI=")</f>
        <v>#REF!</v>
      </c>
      <c r="ER61" t="e">
        <f>AND(#REF!,"AAAAAHr97ZM=")</f>
        <v>#REF!</v>
      </c>
      <c r="ES61" t="e">
        <f>AND(#REF!,"AAAAAHr97ZQ=")</f>
        <v>#REF!</v>
      </c>
      <c r="ET61" t="e">
        <f>IF(#REF!,"AAAAAHr97ZU=",0)</f>
        <v>#REF!</v>
      </c>
      <c r="EU61" t="e">
        <f>AND(#REF!,"AAAAAHr97ZY=")</f>
        <v>#REF!</v>
      </c>
      <c r="EV61" t="e">
        <f>AND(#REF!,"AAAAAHr97Zc=")</f>
        <v>#REF!</v>
      </c>
      <c r="EW61" t="e">
        <f>AND(#REF!,"AAAAAHr97Zg=")</f>
        <v>#REF!</v>
      </c>
      <c r="EX61" t="e">
        <f>AND(#REF!,"AAAAAHr97Zk=")</f>
        <v>#REF!</v>
      </c>
      <c r="EY61" t="e">
        <f>AND(#REF!,"AAAAAHr97Zo=")</f>
        <v>#REF!</v>
      </c>
      <c r="EZ61" t="e">
        <f>AND(#REF!,"AAAAAHr97Zs=")</f>
        <v>#REF!</v>
      </c>
      <c r="FA61" t="e">
        <f>AND(#REF!,"AAAAAHr97Zw=")</f>
        <v>#REF!</v>
      </c>
      <c r="FB61" t="e">
        <f>AND(#REF!,"AAAAAHr97Z0=")</f>
        <v>#REF!</v>
      </c>
      <c r="FC61" t="e">
        <f>AND(#REF!,"AAAAAHr97Z4=")</f>
        <v>#REF!</v>
      </c>
      <c r="FD61" t="e">
        <f>AND(#REF!,"AAAAAHr97Z8=")</f>
        <v>#REF!</v>
      </c>
      <c r="FE61" t="e">
        <f>AND(#REF!,"AAAAAHr97aA=")</f>
        <v>#REF!</v>
      </c>
      <c r="FF61" t="e">
        <f>AND(#REF!,"AAAAAHr97aE=")</f>
        <v>#REF!</v>
      </c>
      <c r="FG61" t="e">
        <f>AND(#REF!,"AAAAAHr97aI=")</f>
        <v>#REF!</v>
      </c>
      <c r="FH61" t="e">
        <f>AND(#REF!,"AAAAAHr97aM=")</f>
        <v>#REF!</v>
      </c>
      <c r="FI61" t="e">
        <f>AND(#REF!,"AAAAAHr97aQ=")</f>
        <v>#REF!</v>
      </c>
      <c r="FJ61" t="e">
        <f>AND(#REF!,"AAAAAHr97aU=")</f>
        <v>#REF!</v>
      </c>
      <c r="FK61" t="e">
        <f>AND(#REF!,"AAAAAHr97aY=")</f>
        <v>#REF!</v>
      </c>
      <c r="FL61" t="e">
        <f>AND(#REF!,"AAAAAHr97ac=")</f>
        <v>#REF!</v>
      </c>
      <c r="FM61" t="e">
        <f>AND(#REF!,"AAAAAHr97ag=")</f>
        <v>#REF!</v>
      </c>
      <c r="FN61" t="e">
        <f>AND(#REF!,"AAAAAHr97ak=")</f>
        <v>#REF!</v>
      </c>
      <c r="FO61" t="e">
        <f>AND(#REF!,"AAAAAHr97ao=")</f>
        <v>#REF!</v>
      </c>
      <c r="FP61" t="e">
        <f>AND(#REF!,"AAAAAHr97as=")</f>
        <v>#REF!</v>
      </c>
      <c r="FQ61" t="e">
        <f>AND(#REF!,"AAAAAHr97aw=")</f>
        <v>#REF!</v>
      </c>
      <c r="FR61" t="e">
        <f>IF(#REF!,"AAAAAHr97a0=",0)</f>
        <v>#REF!</v>
      </c>
      <c r="FS61" t="e">
        <f>AND(#REF!,"AAAAAHr97a4=")</f>
        <v>#REF!</v>
      </c>
      <c r="FT61" t="e">
        <f>AND(#REF!,"AAAAAHr97a8=")</f>
        <v>#REF!</v>
      </c>
      <c r="FU61" t="e">
        <f>AND(#REF!,"AAAAAHr97bA=")</f>
        <v>#REF!</v>
      </c>
      <c r="FV61" t="e">
        <f>AND(#REF!,"AAAAAHr97bE=")</f>
        <v>#REF!</v>
      </c>
      <c r="FW61" t="e">
        <f>AND(#REF!,"AAAAAHr97bI=")</f>
        <v>#REF!</v>
      </c>
      <c r="FX61" t="e">
        <f>AND(#REF!,"AAAAAHr97bM=")</f>
        <v>#REF!</v>
      </c>
      <c r="FY61" t="e">
        <f>AND(#REF!,"AAAAAHr97bQ=")</f>
        <v>#REF!</v>
      </c>
      <c r="FZ61" t="e">
        <f>AND(#REF!,"AAAAAHr97bU=")</f>
        <v>#REF!</v>
      </c>
      <c r="GA61" t="e">
        <f>AND(#REF!,"AAAAAHr97bY=")</f>
        <v>#REF!</v>
      </c>
      <c r="GB61" t="e">
        <f>AND(#REF!,"AAAAAHr97bc=")</f>
        <v>#REF!</v>
      </c>
      <c r="GC61" t="e">
        <f>AND(#REF!,"AAAAAHr97bg=")</f>
        <v>#REF!</v>
      </c>
      <c r="GD61" t="e">
        <f>AND(#REF!,"AAAAAHr97bk=")</f>
        <v>#REF!</v>
      </c>
      <c r="GE61" t="e">
        <f>AND(#REF!,"AAAAAHr97bo=")</f>
        <v>#REF!</v>
      </c>
      <c r="GF61" t="e">
        <f>AND(#REF!,"AAAAAHr97bs=")</f>
        <v>#REF!</v>
      </c>
      <c r="GG61" t="e">
        <f>AND(#REF!,"AAAAAHr97bw=")</f>
        <v>#REF!</v>
      </c>
      <c r="GH61" t="e">
        <f>AND(#REF!,"AAAAAHr97b0=")</f>
        <v>#REF!</v>
      </c>
      <c r="GI61" t="e">
        <f>AND(#REF!,"AAAAAHr97b4=")</f>
        <v>#REF!</v>
      </c>
      <c r="GJ61" t="e">
        <f>AND(#REF!,"AAAAAHr97b8=")</f>
        <v>#REF!</v>
      </c>
      <c r="GK61" t="e">
        <f>AND(#REF!,"AAAAAHr97cA=")</f>
        <v>#REF!</v>
      </c>
      <c r="GL61" t="e">
        <f>AND(#REF!,"AAAAAHr97cE=")</f>
        <v>#REF!</v>
      </c>
      <c r="GM61" t="e">
        <f>AND(#REF!,"AAAAAHr97cI=")</f>
        <v>#REF!</v>
      </c>
      <c r="GN61" t="e">
        <f>AND(#REF!,"AAAAAHr97cM=")</f>
        <v>#REF!</v>
      </c>
      <c r="GO61" t="e">
        <f>AND(#REF!,"AAAAAHr97cQ=")</f>
        <v>#REF!</v>
      </c>
      <c r="GP61" t="e">
        <f>IF(#REF!,"AAAAAHr97cU=",0)</f>
        <v>#REF!</v>
      </c>
      <c r="GQ61" t="e">
        <f>AND(#REF!,"AAAAAHr97cY=")</f>
        <v>#REF!</v>
      </c>
      <c r="GR61" t="e">
        <f>AND(#REF!,"AAAAAHr97cc=")</f>
        <v>#REF!</v>
      </c>
      <c r="GS61" t="e">
        <f>AND(#REF!,"AAAAAHr97cg=")</f>
        <v>#REF!</v>
      </c>
      <c r="GT61" t="e">
        <f>AND(#REF!,"AAAAAHr97ck=")</f>
        <v>#REF!</v>
      </c>
      <c r="GU61" t="e">
        <f>AND(#REF!,"AAAAAHr97co=")</f>
        <v>#REF!</v>
      </c>
      <c r="GV61" t="e">
        <f>AND(#REF!,"AAAAAHr97cs=")</f>
        <v>#REF!</v>
      </c>
      <c r="GW61" t="e">
        <f>AND(#REF!,"AAAAAHr97cw=")</f>
        <v>#REF!</v>
      </c>
      <c r="GX61" t="e">
        <f>AND(#REF!,"AAAAAHr97c0=")</f>
        <v>#REF!</v>
      </c>
      <c r="GY61" t="e">
        <f>AND(#REF!,"AAAAAHr97c4=")</f>
        <v>#REF!</v>
      </c>
      <c r="GZ61" t="e">
        <f>AND(#REF!,"AAAAAHr97c8=")</f>
        <v>#REF!</v>
      </c>
      <c r="HA61" t="e">
        <f>AND(#REF!,"AAAAAHr97dA=")</f>
        <v>#REF!</v>
      </c>
      <c r="HB61" t="e">
        <f>AND(#REF!,"AAAAAHr97dE=")</f>
        <v>#REF!</v>
      </c>
      <c r="HC61" t="e">
        <f>AND(#REF!,"AAAAAHr97dI=")</f>
        <v>#REF!</v>
      </c>
      <c r="HD61" t="e">
        <f>AND(#REF!,"AAAAAHr97dM=")</f>
        <v>#REF!</v>
      </c>
      <c r="HE61" t="e">
        <f>AND(#REF!,"AAAAAHr97dQ=")</f>
        <v>#REF!</v>
      </c>
      <c r="HF61" t="e">
        <f>AND(#REF!,"AAAAAHr97dU=")</f>
        <v>#REF!</v>
      </c>
      <c r="HG61" t="e">
        <f>AND(#REF!,"AAAAAHr97dY=")</f>
        <v>#REF!</v>
      </c>
      <c r="HH61" t="e">
        <f>AND(#REF!,"AAAAAHr97dc=")</f>
        <v>#REF!</v>
      </c>
      <c r="HI61" t="e">
        <f>AND(#REF!,"AAAAAHr97dg=")</f>
        <v>#REF!</v>
      </c>
      <c r="HJ61" t="e">
        <f>AND(#REF!,"AAAAAHr97dk=")</f>
        <v>#REF!</v>
      </c>
      <c r="HK61" t="e">
        <f>AND(#REF!,"AAAAAHr97do=")</f>
        <v>#REF!</v>
      </c>
      <c r="HL61" t="e">
        <f>AND(#REF!,"AAAAAHr97ds=")</f>
        <v>#REF!</v>
      </c>
      <c r="HM61" t="e">
        <f>AND(#REF!,"AAAAAHr97dw=")</f>
        <v>#REF!</v>
      </c>
      <c r="HN61" t="e">
        <f>IF(#REF!,"AAAAAHr97d0=",0)</f>
        <v>#REF!</v>
      </c>
      <c r="HO61" t="e">
        <f>AND(#REF!,"AAAAAHr97d4=")</f>
        <v>#REF!</v>
      </c>
      <c r="HP61" t="e">
        <f>AND(#REF!,"AAAAAHr97d8=")</f>
        <v>#REF!</v>
      </c>
      <c r="HQ61" t="e">
        <f>AND(#REF!,"AAAAAHr97eA=")</f>
        <v>#REF!</v>
      </c>
      <c r="HR61" t="e">
        <f>AND(#REF!,"AAAAAHr97eE=")</f>
        <v>#REF!</v>
      </c>
      <c r="HS61" t="e">
        <f>AND(#REF!,"AAAAAHr97eI=")</f>
        <v>#REF!</v>
      </c>
      <c r="HT61" t="e">
        <f>AND(#REF!,"AAAAAHr97eM=")</f>
        <v>#REF!</v>
      </c>
      <c r="HU61" t="e">
        <f>AND(#REF!,"AAAAAHr97eQ=")</f>
        <v>#REF!</v>
      </c>
      <c r="HV61" t="e">
        <f>AND(#REF!,"AAAAAHr97eU=")</f>
        <v>#REF!</v>
      </c>
      <c r="HW61" t="e">
        <f>AND(#REF!,"AAAAAHr97eY=")</f>
        <v>#REF!</v>
      </c>
      <c r="HX61" t="e">
        <f>AND(#REF!,"AAAAAHr97ec=")</f>
        <v>#REF!</v>
      </c>
      <c r="HY61" t="e">
        <f>AND(#REF!,"AAAAAHr97eg=")</f>
        <v>#REF!</v>
      </c>
      <c r="HZ61" t="e">
        <f>AND(#REF!,"AAAAAHr97ek=")</f>
        <v>#REF!</v>
      </c>
      <c r="IA61" t="e">
        <f>AND(#REF!,"AAAAAHr97eo=")</f>
        <v>#REF!</v>
      </c>
      <c r="IB61" t="e">
        <f>AND(#REF!,"AAAAAHr97es=")</f>
        <v>#REF!</v>
      </c>
      <c r="IC61" t="e">
        <f>AND(#REF!,"AAAAAHr97ew=")</f>
        <v>#REF!</v>
      </c>
      <c r="ID61" t="e">
        <f>AND(#REF!,"AAAAAHr97e0=")</f>
        <v>#REF!</v>
      </c>
      <c r="IE61" t="e">
        <f>AND(#REF!,"AAAAAHr97e4=")</f>
        <v>#REF!</v>
      </c>
      <c r="IF61" t="e">
        <f>AND(#REF!,"AAAAAHr97e8=")</f>
        <v>#REF!</v>
      </c>
      <c r="IG61" t="e">
        <f>AND(#REF!,"AAAAAHr97fA=")</f>
        <v>#REF!</v>
      </c>
      <c r="IH61" t="e">
        <f>AND(#REF!,"AAAAAHr97fE=")</f>
        <v>#REF!</v>
      </c>
      <c r="II61" t="e">
        <f>AND(#REF!,"AAAAAHr97fI=")</f>
        <v>#REF!</v>
      </c>
      <c r="IJ61" t="e">
        <f>AND(#REF!,"AAAAAHr97fM=")</f>
        <v>#REF!</v>
      </c>
      <c r="IK61" t="e">
        <f>AND(#REF!,"AAAAAHr97fQ=")</f>
        <v>#REF!</v>
      </c>
      <c r="IL61" t="e">
        <f>IF(#REF!,"AAAAAHr97fU=",0)</f>
        <v>#REF!</v>
      </c>
      <c r="IM61" t="e">
        <f>AND(#REF!,"AAAAAHr97fY=")</f>
        <v>#REF!</v>
      </c>
      <c r="IN61" t="e">
        <f>AND(#REF!,"AAAAAHr97fc=")</f>
        <v>#REF!</v>
      </c>
      <c r="IO61" t="e">
        <f>AND(#REF!,"AAAAAHr97fg=")</f>
        <v>#REF!</v>
      </c>
      <c r="IP61" t="e">
        <f>AND(#REF!,"AAAAAHr97fk=")</f>
        <v>#REF!</v>
      </c>
      <c r="IQ61" t="e">
        <f>AND(#REF!,"AAAAAHr97fo=")</f>
        <v>#REF!</v>
      </c>
      <c r="IR61" t="e">
        <f>AND(#REF!,"AAAAAHr97fs=")</f>
        <v>#REF!</v>
      </c>
      <c r="IS61" t="e">
        <f>AND(#REF!,"AAAAAHr97fw=")</f>
        <v>#REF!</v>
      </c>
      <c r="IT61" t="e">
        <f>AND(#REF!,"AAAAAHr97f0=")</f>
        <v>#REF!</v>
      </c>
      <c r="IU61" t="e">
        <f>AND(#REF!,"AAAAAHr97f4=")</f>
        <v>#REF!</v>
      </c>
      <c r="IV61" t="e">
        <f>AND(#REF!,"AAAAAHr97f8=")</f>
        <v>#REF!</v>
      </c>
    </row>
    <row r="62" spans="1:256" x14ac:dyDescent="0.15">
      <c r="A62" t="e">
        <f>AND(#REF!,"AAAAAD/7+gA=")</f>
        <v>#REF!</v>
      </c>
      <c r="B62" t="e">
        <f>AND(#REF!,"AAAAAD/7+gE=")</f>
        <v>#REF!</v>
      </c>
      <c r="C62" t="e">
        <f>AND(#REF!,"AAAAAD/7+gI=")</f>
        <v>#REF!</v>
      </c>
      <c r="D62" t="e">
        <f>AND(#REF!,"AAAAAD/7+gM=")</f>
        <v>#REF!</v>
      </c>
      <c r="E62" t="e">
        <f>AND(#REF!,"AAAAAD/7+gQ=")</f>
        <v>#REF!</v>
      </c>
      <c r="F62" t="e">
        <f>AND(#REF!,"AAAAAD/7+gU=")</f>
        <v>#REF!</v>
      </c>
      <c r="G62" t="e">
        <f>AND(#REF!,"AAAAAD/7+gY=")</f>
        <v>#REF!</v>
      </c>
      <c r="H62" t="e">
        <f>AND(#REF!,"AAAAAD/7+gc=")</f>
        <v>#REF!</v>
      </c>
      <c r="I62" t="e">
        <f>AND(#REF!,"AAAAAD/7+gg=")</f>
        <v>#REF!</v>
      </c>
      <c r="J62" t="e">
        <f>AND(#REF!,"AAAAAD/7+gk=")</f>
        <v>#REF!</v>
      </c>
      <c r="K62" t="e">
        <f>AND(#REF!,"AAAAAD/7+go=")</f>
        <v>#REF!</v>
      </c>
      <c r="L62" t="e">
        <f>AND(#REF!,"AAAAAD/7+gs=")</f>
        <v>#REF!</v>
      </c>
      <c r="M62" t="e">
        <f>AND(#REF!,"AAAAAD/7+gw=")</f>
        <v>#REF!</v>
      </c>
      <c r="N62" t="e">
        <f>IF(#REF!,"AAAAAD/7+g0=",0)</f>
        <v>#REF!</v>
      </c>
      <c r="O62" t="e">
        <f>AND(#REF!,"AAAAAD/7+g4=")</f>
        <v>#REF!</v>
      </c>
      <c r="P62" t="e">
        <f>AND(#REF!,"AAAAAD/7+g8=")</f>
        <v>#REF!</v>
      </c>
      <c r="Q62" t="e">
        <f>AND(#REF!,"AAAAAD/7+hA=")</f>
        <v>#REF!</v>
      </c>
      <c r="R62" t="e">
        <f>AND(#REF!,"AAAAAD/7+hE=")</f>
        <v>#REF!</v>
      </c>
      <c r="S62" t="e">
        <f>AND(#REF!,"AAAAAD/7+hI=")</f>
        <v>#REF!</v>
      </c>
      <c r="T62" t="e">
        <f>AND(#REF!,"AAAAAD/7+hM=")</f>
        <v>#REF!</v>
      </c>
      <c r="U62" t="e">
        <f>AND(#REF!,"AAAAAD/7+hQ=")</f>
        <v>#REF!</v>
      </c>
      <c r="V62" t="e">
        <f>AND(#REF!,"AAAAAD/7+hU=")</f>
        <v>#REF!</v>
      </c>
      <c r="W62" t="e">
        <f>AND(#REF!,"AAAAAD/7+hY=")</f>
        <v>#REF!</v>
      </c>
      <c r="X62" t="e">
        <f>AND(#REF!,"AAAAAD/7+hc=")</f>
        <v>#REF!</v>
      </c>
      <c r="Y62" t="e">
        <f>AND(#REF!,"AAAAAD/7+hg=")</f>
        <v>#REF!</v>
      </c>
      <c r="Z62" t="e">
        <f>AND(#REF!,"AAAAAD/7+hk=")</f>
        <v>#REF!</v>
      </c>
      <c r="AA62" t="e">
        <f>AND(#REF!,"AAAAAD/7+ho=")</f>
        <v>#REF!</v>
      </c>
      <c r="AB62" t="e">
        <f>AND(#REF!,"AAAAAD/7+hs=")</f>
        <v>#REF!</v>
      </c>
      <c r="AC62" t="e">
        <f>AND(#REF!,"AAAAAD/7+hw=")</f>
        <v>#REF!</v>
      </c>
      <c r="AD62" t="e">
        <f>AND(#REF!,"AAAAAD/7+h0=")</f>
        <v>#REF!</v>
      </c>
      <c r="AE62" t="e">
        <f>AND(#REF!,"AAAAAD/7+h4=")</f>
        <v>#REF!</v>
      </c>
      <c r="AF62" t="e">
        <f>AND(#REF!,"AAAAAD/7+h8=")</f>
        <v>#REF!</v>
      </c>
      <c r="AG62" t="e">
        <f>AND(#REF!,"AAAAAD/7+iA=")</f>
        <v>#REF!</v>
      </c>
      <c r="AH62" t="e">
        <f>AND(#REF!,"AAAAAD/7+iE=")</f>
        <v>#REF!</v>
      </c>
      <c r="AI62" t="e">
        <f>AND(#REF!,"AAAAAD/7+iI=")</f>
        <v>#REF!</v>
      </c>
      <c r="AJ62" t="e">
        <f>AND(#REF!,"AAAAAD/7+iM=")</f>
        <v>#REF!</v>
      </c>
      <c r="AK62" t="e">
        <f>AND(#REF!,"AAAAAD/7+iQ=")</f>
        <v>#REF!</v>
      </c>
      <c r="AL62" t="e">
        <f>IF(#REF!,"AAAAAD/7+iU=",0)</f>
        <v>#REF!</v>
      </c>
      <c r="AM62" t="e">
        <f>AND(#REF!,"AAAAAD/7+iY=")</f>
        <v>#REF!</v>
      </c>
      <c r="AN62" t="e">
        <f>AND(#REF!,"AAAAAD/7+ic=")</f>
        <v>#REF!</v>
      </c>
      <c r="AO62" t="e">
        <f>AND(#REF!,"AAAAAD/7+ig=")</f>
        <v>#REF!</v>
      </c>
      <c r="AP62" t="e">
        <f>AND(#REF!,"AAAAAD/7+ik=")</f>
        <v>#REF!</v>
      </c>
      <c r="AQ62" t="e">
        <f>AND(#REF!,"AAAAAD/7+io=")</f>
        <v>#REF!</v>
      </c>
      <c r="AR62" t="e">
        <f>AND(#REF!,"AAAAAD/7+is=")</f>
        <v>#REF!</v>
      </c>
      <c r="AS62" t="e">
        <f>AND(#REF!,"AAAAAD/7+iw=")</f>
        <v>#REF!</v>
      </c>
      <c r="AT62" t="e">
        <f>AND(#REF!,"AAAAAD/7+i0=")</f>
        <v>#REF!</v>
      </c>
      <c r="AU62" t="e">
        <f>AND(#REF!,"AAAAAD/7+i4=")</f>
        <v>#REF!</v>
      </c>
      <c r="AV62" t="e">
        <f>AND(#REF!,"AAAAAD/7+i8=")</f>
        <v>#REF!</v>
      </c>
      <c r="AW62" t="e">
        <f>AND(#REF!,"AAAAAD/7+jA=")</f>
        <v>#REF!</v>
      </c>
      <c r="AX62" t="e">
        <f>AND(#REF!,"AAAAAD/7+jE=")</f>
        <v>#REF!</v>
      </c>
      <c r="AY62" t="e">
        <f>AND(#REF!,"AAAAAD/7+jI=")</f>
        <v>#REF!</v>
      </c>
      <c r="AZ62" t="e">
        <f>AND(#REF!,"AAAAAD/7+jM=")</f>
        <v>#REF!</v>
      </c>
      <c r="BA62" t="e">
        <f>AND(#REF!,"AAAAAD/7+jQ=")</f>
        <v>#REF!</v>
      </c>
      <c r="BB62" t="e">
        <f>AND(#REF!,"AAAAAD/7+jU=")</f>
        <v>#REF!</v>
      </c>
      <c r="BC62" t="e">
        <f>AND(#REF!,"AAAAAD/7+jY=")</f>
        <v>#REF!</v>
      </c>
      <c r="BD62" t="e">
        <f>AND(#REF!,"AAAAAD/7+jc=")</f>
        <v>#REF!</v>
      </c>
      <c r="BE62" t="e">
        <f>AND(#REF!,"AAAAAD/7+jg=")</f>
        <v>#REF!</v>
      </c>
      <c r="BF62" t="e">
        <f>AND(#REF!,"AAAAAD/7+jk=")</f>
        <v>#REF!</v>
      </c>
      <c r="BG62" t="e">
        <f>AND(#REF!,"AAAAAD/7+jo=")</f>
        <v>#REF!</v>
      </c>
      <c r="BH62" t="e">
        <f>AND(#REF!,"AAAAAD/7+js=")</f>
        <v>#REF!</v>
      </c>
      <c r="BI62" t="e">
        <f>AND(#REF!,"AAAAAD/7+jw=")</f>
        <v>#REF!</v>
      </c>
      <c r="BJ62" t="e">
        <f>IF(#REF!,"AAAAAD/7+j0=",0)</f>
        <v>#REF!</v>
      </c>
      <c r="BK62" t="e">
        <f>AND(#REF!,"AAAAAD/7+j4=")</f>
        <v>#REF!</v>
      </c>
      <c r="BL62" t="e">
        <f>AND(#REF!,"AAAAAD/7+j8=")</f>
        <v>#REF!</v>
      </c>
      <c r="BM62" t="e">
        <f>AND(#REF!,"AAAAAD/7+kA=")</f>
        <v>#REF!</v>
      </c>
      <c r="BN62" t="e">
        <f>AND(#REF!,"AAAAAD/7+kE=")</f>
        <v>#REF!</v>
      </c>
      <c r="BO62" t="e">
        <f>AND(#REF!,"AAAAAD/7+kI=")</f>
        <v>#REF!</v>
      </c>
      <c r="BP62" t="e">
        <f>AND(#REF!,"AAAAAD/7+kM=")</f>
        <v>#REF!</v>
      </c>
      <c r="BQ62" t="e">
        <f>AND(#REF!,"AAAAAD/7+kQ=")</f>
        <v>#REF!</v>
      </c>
      <c r="BR62" t="e">
        <f>AND(#REF!,"AAAAAD/7+kU=")</f>
        <v>#REF!</v>
      </c>
      <c r="BS62" t="e">
        <f>AND(#REF!,"AAAAAD/7+kY=")</f>
        <v>#REF!</v>
      </c>
      <c r="BT62" t="e">
        <f>AND(#REF!,"AAAAAD/7+kc=")</f>
        <v>#REF!</v>
      </c>
      <c r="BU62" t="e">
        <f>AND(#REF!,"AAAAAD/7+kg=")</f>
        <v>#REF!</v>
      </c>
      <c r="BV62" t="e">
        <f>AND(#REF!,"AAAAAD/7+kk=")</f>
        <v>#REF!</v>
      </c>
      <c r="BW62" t="e">
        <f>AND(#REF!,"AAAAAD/7+ko=")</f>
        <v>#REF!</v>
      </c>
      <c r="BX62" t="e">
        <f>AND(#REF!,"AAAAAD/7+ks=")</f>
        <v>#REF!</v>
      </c>
      <c r="BY62" t="e">
        <f>AND(#REF!,"AAAAAD/7+kw=")</f>
        <v>#REF!</v>
      </c>
      <c r="BZ62" t="e">
        <f>AND(#REF!,"AAAAAD/7+k0=")</f>
        <v>#REF!</v>
      </c>
      <c r="CA62" t="e">
        <f>AND(#REF!,"AAAAAD/7+k4=")</f>
        <v>#REF!</v>
      </c>
      <c r="CB62" t="e">
        <f>AND(#REF!,"AAAAAD/7+k8=")</f>
        <v>#REF!</v>
      </c>
      <c r="CC62" t="e">
        <f>AND(#REF!,"AAAAAD/7+lA=")</f>
        <v>#REF!</v>
      </c>
      <c r="CD62" t="e">
        <f>AND(#REF!,"AAAAAD/7+lE=")</f>
        <v>#REF!</v>
      </c>
      <c r="CE62" t="e">
        <f>AND(#REF!,"AAAAAD/7+lI=")</f>
        <v>#REF!</v>
      </c>
      <c r="CF62" t="e">
        <f>AND(#REF!,"AAAAAD/7+lM=")</f>
        <v>#REF!</v>
      </c>
      <c r="CG62" t="e">
        <f>AND(#REF!,"AAAAAD/7+lQ=")</f>
        <v>#REF!</v>
      </c>
      <c r="CH62" t="e">
        <f>IF(#REF!,"AAAAAD/7+lU=",0)</f>
        <v>#REF!</v>
      </c>
      <c r="CI62" t="e">
        <f>AND(#REF!,"AAAAAD/7+lY=")</f>
        <v>#REF!</v>
      </c>
      <c r="CJ62" t="e">
        <f>AND(#REF!,"AAAAAD/7+lc=")</f>
        <v>#REF!</v>
      </c>
      <c r="CK62" t="e">
        <f>AND(#REF!,"AAAAAD/7+lg=")</f>
        <v>#REF!</v>
      </c>
      <c r="CL62" t="e">
        <f>AND(#REF!,"AAAAAD/7+lk=")</f>
        <v>#REF!</v>
      </c>
      <c r="CM62" t="e">
        <f>AND(#REF!,"AAAAAD/7+lo=")</f>
        <v>#REF!</v>
      </c>
      <c r="CN62" t="e">
        <f>AND(#REF!,"AAAAAD/7+ls=")</f>
        <v>#REF!</v>
      </c>
      <c r="CO62" t="e">
        <f>AND(#REF!,"AAAAAD/7+lw=")</f>
        <v>#REF!</v>
      </c>
      <c r="CP62" t="e">
        <f>AND(#REF!,"AAAAAD/7+l0=")</f>
        <v>#REF!</v>
      </c>
      <c r="CQ62" t="e">
        <f>AND(#REF!,"AAAAAD/7+l4=")</f>
        <v>#REF!</v>
      </c>
      <c r="CR62" t="e">
        <f>AND(#REF!,"AAAAAD/7+l8=")</f>
        <v>#REF!</v>
      </c>
      <c r="CS62" t="e">
        <f>AND(#REF!,"AAAAAD/7+mA=")</f>
        <v>#REF!</v>
      </c>
      <c r="CT62" t="e">
        <f>AND(#REF!,"AAAAAD/7+mE=")</f>
        <v>#REF!</v>
      </c>
      <c r="CU62" t="e">
        <f>AND(#REF!,"AAAAAD/7+mI=")</f>
        <v>#REF!</v>
      </c>
      <c r="CV62" t="e">
        <f>AND(#REF!,"AAAAAD/7+mM=")</f>
        <v>#REF!</v>
      </c>
      <c r="CW62" t="e">
        <f>AND(#REF!,"AAAAAD/7+mQ=")</f>
        <v>#REF!</v>
      </c>
      <c r="CX62" t="e">
        <f>AND(#REF!,"AAAAAD/7+mU=")</f>
        <v>#REF!</v>
      </c>
      <c r="CY62" t="e">
        <f>AND(#REF!,"AAAAAD/7+mY=")</f>
        <v>#REF!</v>
      </c>
      <c r="CZ62" t="e">
        <f>AND(#REF!,"AAAAAD/7+mc=")</f>
        <v>#REF!</v>
      </c>
      <c r="DA62" t="e">
        <f>AND(#REF!,"AAAAAD/7+mg=")</f>
        <v>#REF!</v>
      </c>
      <c r="DB62" t="e">
        <f>AND(#REF!,"AAAAAD/7+mk=")</f>
        <v>#REF!</v>
      </c>
      <c r="DC62" t="e">
        <f>AND(#REF!,"AAAAAD/7+mo=")</f>
        <v>#REF!</v>
      </c>
      <c r="DD62" t="e">
        <f>AND(#REF!,"AAAAAD/7+ms=")</f>
        <v>#REF!</v>
      </c>
      <c r="DE62" t="e">
        <f>AND(#REF!,"AAAAAD/7+mw=")</f>
        <v>#REF!</v>
      </c>
      <c r="DF62" t="e">
        <f>IF(#REF!,"AAAAAD/7+m0=",0)</f>
        <v>#REF!</v>
      </c>
      <c r="DG62" t="e">
        <f>AND(#REF!,"AAAAAD/7+m4=")</f>
        <v>#REF!</v>
      </c>
      <c r="DH62" t="e">
        <f>AND(#REF!,"AAAAAD/7+m8=")</f>
        <v>#REF!</v>
      </c>
      <c r="DI62" t="e">
        <f>AND(#REF!,"AAAAAD/7+nA=")</f>
        <v>#REF!</v>
      </c>
      <c r="DJ62" t="e">
        <f>AND(#REF!,"AAAAAD/7+nE=")</f>
        <v>#REF!</v>
      </c>
      <c r="DK62" t="e">
        <f>AND(#REF!,"AAAAAD/7+nI=")</f>
        <v>#REF!</v>
      </c>
      <c r="DL62" t="e">
        <f>AND(#REF!,"AAAAAD/7+nM=")</f>
        <v>#REF!</v>
      </c>
      <c r="DM62" t="e">
        <f>AND(#REF!,"AAAAAD/7+nQ=")</f>
        <v>#REF!</v>
      </c>
      <c r="DN62" t="e">
        <f>AND(#REF!,"AAAAAD/7+nU=")</f>
        <v>#REF!</v>
      </c>
      <c r="DO62" t="e">
        <f>AND(#REF!,"AAAAAD/7+nY=")</f>
        <v>#REF!</v>
      </c>
      <c r="DP62" t="e">
        <f>AND(#REF!,"AAAAAD/7+nc=")</f>
        <v>#REF!</v>
      </c>
      <c r="DQ62" t="e">
        <f>AND(#REF!,"AAAAAD/7+ng=")</f>
        <v>#REF!</v>
      </c>
      <c r="DR62" t="e">
        <f>AND(#REF!,"AAAAAD/7+nk=")</f>
        <v>#REF!</v>
      </c>
      <c r="DS62" t="e">
        <f>AND(#REF!,"AAAAAD/7+no=")</f>
        <v>#REF!</v>
      </c>
      <c r="DT62" t="e">
        <f>AND(#REF!,"AAAAAD/7+ns=")</f>
        <v>#REF!</v>
      </c>
      <c r="DU62" t="e">
        <f>AND(#REF!,"AAAAAD/7+nw=")</f>
        <v>#REF!</v>
      </c>
      <c r="DV62" t="e">
        <f>AND(#REF!,"AAAAAD/7+n0=")</f>
        <v>#REF!</v>
      </c>
      <c r="DW62" t="e">
        <f>AND(#REF!,"AAAAAD/7+n4=")</f>
        <v>#REF!</v>
      </c>
      <c r="DX62" t="e">
        <f>AND(#REF!,"AAAAAD/7+n8=")</f>
        <v>#REF!</v>
      </c>
      <c r="DY62" t="e">
        <f>AND(#REF!,"AAAAAD/7+oA=")</f>
        <v>#REF!</v>
      </c>
      <c r="DZ62" t="e">
        <f>AND(#REF!,"AAAAAD/7+oE=")</f>
        <v>#REF!</v>
      </c>
      <c r="EA62" t="e">
        <f>AND(#REF!,"AAAAAD/7+oI=")</f>
        <v>#REF!</v>
      </c>
      <c r="EB62" t="e">
        <f>AND(#REF!,"AAAAAD/7+oM=")</f>
        <v>#REF!</v>
      </c>
      <c r="EC62" t="e">
        <f>AND(#REF!,"AAAAAD/7+oQ=")</f>
        <v>#REF!</v>
      </c>
      <c r="ED62" t="e">
        <f>IF(#REF!,"AAAAAD/7+oU=",0)</f>
        <v>#REF!</v>
      </c>
      <c r="EE62" t="e">
        <f>AND(#REF!,"AAAAAD/7+oY=")</f>
        <v>#REF!</v>
      </c>
      <c r="EF62" t="e">
        <f>AND(#REF!,"AAAAAD/7+oc=")</f>
        <v>#REF!</v>
      </c>
      <c r="EG62" t="e">
        <f>AND(#REF!,"AAAAAD/7+og=")</f>
        <v>#REF!</v>
      </c>
      <c r="EH62" t="e">
        <f>AND(#REF!,"AAAAAD/7+ok=")</f>
        <v>#REF!</v>
      </c>
      <c r="EI62" t="e">
        <f>AND(#REF!,"AAAAAD/7+oo=")</f>
        <v>#REF!</v>
      </c>
      <c r="EJ62" t="e">
        <f>AND(#REF!,"AAAAAD/7+os=")</f>
        <v>#REF!</v>
      </c>
      <c r="EK62" t="e">
        <f>AND(#REF!,"AAAAAD/7+ow=")</f>
        <v>#REF!</v>
      </c>
      <c r="EL62" t="e">
        <f>AND(#REF!,"AAAAAD/7+o0=")</f>
        <v>#REF!</v>
      </c>
      <c r="EM62" t="e">
        <f>AND(#REF!,"AAAAAD/7+o4=")</f>
        <v>#REF!</v>
      </c>
      <c r="EN62" t="e">
        <f>AND(#REF!,"AAAAAD/7+o8=")</f>
        <v>#REF!</v>
      </c>
      <c r="EO62" t="e">
        <f>AND(#REF!,"AAAAAD/7+pA=")</f>
        <v>#REF!</v>
      </c>
      <c r="EP62" t="e">
        <f>AND(#REF!,"AAAAAD/7+pE=")</f>
        <v>#REF!</v>
      </c>
      <c r="EQ62" t="e">
        <f>AND(#REF!,"AAAAAD/7+pI=")</f>
        <v>#REF!</v>
      </c>
      <c r="ER62" t="e">
        <f>AND(#REF!,"AAAAAD/7+pM=")</f>
        <v>#REF!</v>
      </c>
      <c r="ES62" t="e">
        <f>AND(#REF!,"AAAAAD/7+pQ=")</f>
        <v>#REF!</v>
      </c>
      <c r="ET62" t="e">
        <f>AND(#REF!,"AAAAAD/7+pU=")</f>
        <v>#REF!</v>
      </c>
      <c r="EU62" t="e">
        <f>AND(#REF!,"AAAAAD/7+pY=")</f>
        <v>#REF!</v>
      </c>
      <c r="EV62" t="e">
        <f>AND(#REF!,"AAAAAD/7+pc=")</f>
        <v>#REF!</v>
      </c>
      <c r="EW62" t="e">
        <f>AND(#REF!,"AAAAAD/7+pg=")</f>
        <v>#REF!</v>
      </c>
      <c r="EX62" t="e">
        <f>AND(#REF!,"AAAAAD/7+pk=")</f>
        <v>#REF!</v>
      </c>
      <c r="EY62" t="e">
        <f>AND(#REF!,"AAAAAD/7+po=")</f>
        <v>#REF!</v>
      </c>
      <c r="EZ62" t="e">
        <f>AND(#REF!,"AAAAAD/7+ps=")</f>
        <v>#REF!</v>
      </c>
      <c r="FA62" t="e">
        <f>AND(#REF!,"AAAAAD/7+pw=")</f>
        <v>#REF!</v>
      </c>
      <c r="FB62" t="e">
        <f>IF(#REF!,"AAAAAD/7+p0=",0)</f>
        <v>#REF!</v>
      </c>
      <c r="FC62" t="e">
        <f>AND(#REF!,"AAAAAD/7+p4=")</f>
        <v>#REF!</v>
      </c>
      <c r="FD62" t="e">
        <f>AND(#REF!,"AAAAAD/7+p8=")</f>
        <v>#REF!</v>
      </c>
      <c r="FE62" t="e">
        <f>AND(#REF!,"AAAAAD/7+qA=")</f>
        <v>#REF!</v>
      </c>
      <c r="FF62" t="e">
        <f>AND(#REF!,"AAAAAD/7+qE=")</f>
        <v>#REF!</v>
      </c>
      <c r="FG62" t="e">
        <f>AND(#REF!,"AAAAAD/7+qI=")</f>
        <v>#REF!</v>
      </c>
      <c r="FH62" t="e">
        <f>AND(#REF!,"AAAAAD/7+qM=")</f>
        <v>#REF!</v>
      </c>
      <c r="FI62" t="e">
        <f>AND(#REF!,"AAAAAD/7+qQ=")</f>
        <v>#REF!</v>
      </c>
      <c r="FJ62" t="e">
        <f>AND(#REF!,"AAAAAD/7+qU=")</f>
        <v>#REF!</v>
      </c>
      <c r="FK62" t="e">
        <f>AND(#REF!,"AAAAAD/7+qY=")</f>
        <v>#REF!</v>
      </c>
      <c r="FL62" t="e">
        <f>AND(#REF!,"AAAAAD/7+qc=")</f>
        <v>#REF!</v>
      </c>
      <c r="FM62" t="e">
        <f>AND(#REF!,"AAAAAD/7+qg=")</f>
        <v>#REF!</v>
      </c>
      <c r="FN62" t="e">
        <f>AND(#REF!,"AAAAAD/7+qk=")</f>
        <v>#REF!</v>
      </c>
      <c r="FO62" t="e">
        <f>AND(#REF!,"AAAAAD/7+qo=")</f>
        <v>#REF!</v>
      </c>
      <c r="FP62" t="e">
        <f>AND(#REF!,"AAAAAD/7+qs=")</f>
        <v>#REF!</v>
      </c>
      <c r="FQ62" t="e">
        <f>AND(#REF!,"AAAAAD/7+qw=")</f>
        <v>#REF!</v>
      </c>
      <c r="FR62" t="e">
        <f>AND(#REF!,"AAAAAD/7+q0=")</f>
        <v>#REF!</v>
      </c>
      <c r="FS62" t="e">
        <f>AND(#REF!,"AAAAAD/7+q4=")</f>
        <v>#REF!</v>
      </c>
      <c r="FT62" t="e">
        <f>AND(#REF!,"AAAAAD/7+q8=")</f>
        <v>#REF!</v>
      </c>
      <c r="FU62" t="e">
        <f>AND(#REF!,"AAAAAD/7+rA=")</f>
        <v>#REF!</v>
      </c>
      <c r="FV62" t="e">
        <f>AND(#REF!,"AAAAAD/7+rE=")</f>
        <v>#REF!</v>
      </c>
      <c r="FW62" t="e">
        <f>AND(#REF!,"AAAAAD/7+rI=")</f>
        <v>#REF!</v>
      </c>
      <c r="FX62" t="e">
        <f>AND(#REF!,"AAAAAD/7+rM=")</f>
        <v>#REF!</v>
      </c>
      <c r="FY62" t="e">
        <f>AND(#REF!,"AAAAAD/7+rQ=")</f>
        <v>#REF!</v>
      </c>
      <c r="FZ62" t="e">
        <f>IF(#REF!,"AAAAAD/7+rU=",0)</f>
        <v>#REF!</v>
      </c>
      <c r="GA62" t="e">
        <f>AND(#REF!,"AAAAAD/7+rY=")</f>
        <v>#REF!</v>
      </c>
      <c r="GB62" t="e">
        <f>AND(#REF!,"AAAAAD/7+rc=")</f>
        <v>#REF!</v>
      </c>
      <c r="GC62" t="e">
        <f>AND(#REF!,"AAAAAD/7+rg=")</f>
        <v>#REF!</v>
      </c>
      <c r="GD62" t="e">
        <f>AND(#REF!,"AAAAAD/7+rk=")</f>
        <v>#REF!</v>
      </c>
      <c r="GE62" t="e">
        <f>AND(#REF!,"AAAAAD/7+ro=")</f>
        <v>#REF!</v>
      </c>
      <c r="GF62" t="e">
        <f>AND(#REF!,"AAAAAD/7+rs=")</f>
        <v>#REF!</v>
      </c>
      <c r="GG62" t="e">
        <f>AND(#REF!,"AAAAAD/7+rw=")</f>
        <v>#REF!</v>
      </c>
      <c r="GH62" t="e">
        <f>AND(#REF!,"AAAAAD/7+r0=")</f>
        <v>#REF!</v>
      </c>
      <c r="GI62" t="e">
        <f>AND(#REF!,"AAAAAD/7+r4=")</f>
        <v>#REF!</v>
      </c>
      <c r="GJ62" t="e">
        <f>AND(#REF!,"AAAAAD/7+r8=")</f>
        <v>#REF!</v>
      </c>
      <c r="GK62" t="e">
        <f>AND(#REF!,"AAAAAD/7+sA=")</f>
        <v>#REF!</v>
      </c>
      <c r="GL62" t="e">
        <f>AND(#REF!,"AAAAAD/7+sE=")</f>
        <v>#REF!</v>
      </c>
      <c r="GM62" t="e">
        <f>AND(#REF!,"AAAAAD/7+sI=")</f>
        <v>#REF!</v>
      </c>
      <c r="GN62" t="e">
        <f>AND(#REF!,"AAAAAD/7+sM=")</f>
        <v>#REF!</v>
      </c>
      <c r="GO62" t="e">
        <f>AND(#REF!,"AAAAAD/7+sQ=")</f>
        <v>#REF!</v>
      </c>
      <c r="GP62" t="e">
        <f>AND(#REF!,"AAAAAD/7+sU=")</f>
        <v>#REF!</v>
      </c>
      <c r="GQ62" t="e">
        <f>AND(#REF!,"AAAAAD/7+sY=")</f>
        <v>#REF!</v>
      </c>
      <c r="GR62" t="e">
        <f>AND(#REF!,"AAAAAD/7+sc=")</f>
        <v>#REF!</v>
      </c>
      <c r="GS62" t="e">
        <f>AND(#REF!,"AAAAAD/7+sg=")</f>
        <v>#REF!</v>
      </c>
      <c r="GT62" t="e">
        <f>AND(#REF!,"AAAAAD/7+sk=")</f>
        <v>#REF!</v>
      </c>
      <c r="GU62" t="e">
        <f>AND(#REF!,"AAAAAD/7+so=")</f>
        <v>#REF!</v>
      </c>
      <c r="GV62" t="e">
        <f>AND(#REF!,"AAAAAD/7+ss=")</f>
        <v>#REF!</v>
      </c>
      <c r="GW62" t="e">
        <f>AND(#REF!,"AAAAAD/7+sw=")</f>
        <v>#REF!</v>
      </c>
      <c r="GX62" t="e">
        <f>IF(#REF!,"AAAAAD/7+s0=",0)</f>
        <v>#REF!</v>
      </c>
      <c r="GY62" t="e">
        <f>AND(#REF!,"AAAAAD/7+s4=")</f>
        <v>#REF!</v>
      </c>
      <c r="GZ62" t="e">
        <f>AND(#REF!,"AAAAAD/7+s8=")</f>
        <v>#REF!</v>
      </c>
      <c r="HA62" t="e">
        <f>AND(#REF!,"AAAAAD/7+tA=")</f>
        <v>#REF!</v>
      </c>
      <c r="HB62" t="e">
        <f>AND(#REF!,"AAAAAD/7+tE=")</f>
        <v>#REF!</v>
      </c>
      <c r="HC62" t="e">
        <f>AND(#REF!,"AAAAAD/7+tI=")</f>
        <v>#REF!</v>
      </c>
      <c r="HD62" t="e">
        <f>AND(#REF!,"AAAAAD/7+tM=")</f>
        <v>#REF!</v>
      </c>
      <c r="HE62" t="e">
        <f>AND(#REF!,"AAAAAD/7+tQ=")</f>
        <v>#REF!</v>
      </c>
      <c r="HF62" t="e">
        <f>AND(#REF!,"AAAAAD/7+tU=")</f>
        <v>#REF!</v>
      </c>
      <c r="HG62" t="e">
        <f>AND(#REF!,"AAAAAD/7+tY=")</f>
        <v>#REF!</v>
      </c>
      <c r="HH62" t="e">
        <f>AND(#REF!,"AAAAAD/7+tc=")</f>
        <v>#REF!</v>
      </c>
      <c r="HI62" t="e">
        <f>AND(#REF!,"AAAAAD/7+tg=")</f>
        <v>#REF!</v>
      </c>
      <c r="HJ62" t="e">
        <f>AND(#REF!,"AAAAAD/7+tk=")</f>
        <v>#REF!</v>
      </c>
      <c r="HK62" t="e">
        <f>AND(#REF!,"AAAAAD/7+to=")</f>
        <v>#REF!</v>
      </c>
      <c r="HL62" t="e">
        <f>AND(#REF!,"AAAAAD/7+ts=")</f>
        <v>#REF!</v>
      </c>
      <c r="HM62" t="e">
        <f>AND(#REF!,"AAAAAD/7+tw=")</f>
        <v>#REF!</v>
      </c>
      <c r="HN62" t="e">
        <f>AND(#REF!,"AAAAAD/7+t0=")</f>
        <v>#REF!</v>
      </c>
      <c r="HO62" t="e">
        <f>AND(#REF!,"AAAAAD/7+t4=")</f>
        <v>#REF!</v>
      </c>
      <c r="HP62" t="e">
        <f>AND(#REF!,"AAAAAD/7+t8=")</f>
        <v>#REF!</v>
      </c>
      <c r="HQ62" t="e">
        <f>AND(#REF!,"AAAAAD/7+uA=")</f>
        <v>#REF!</v>
      </c>
      <c r="HR62" t="e">
        <f>AND(#REF!,"AAAAAD/7+uE=")</f>
        <v>#REF!</v>
      </c>
      <c r="HS62" t="e">
        <f>AND(#REF!,"AAAAAD/7+uI=")</f>
        <v>#REF!</v>
      </c>
      <c r="HT62" t="e">
        <f>AND(#REF!,"AAAAAD/7+uM=")</f>
        <v>#REF!</v>
      </c>
      <c r="HU62" t="e">
        <f>AND(#REF!,"AAAAAD/7+uQ=")</f>
        <v>#REF!</v>
      </c>
      <c r="HV62" t="e">
        <f>IF(#REF!,"AAAAAD/7+uU=",0)</f>
        <v>#REF!</v>
      </c>
      <c r="HW62" t="e">
        <f>AND(#REF!,"AAAAAD/7+uY=")</f>
        <v>#REF!</v>
      </c>
      <c r="HX62" t="e">
        <f>AND(#REF!,"AAAAAD/7+uc=")</f>
        <v>#REF!</v>
      </c>
      <c r="HY62" t="e">
        <f>AND(#REF!,"AAAAAD/7+ug=")</f>
        <v>#REF!</v>
      </c>
      <c r="HZ62" t="e">
        <f>AND(#REF!,"AAAAAD/7+uk=")</f>
        <v>#REF!</v>
      </c>
      <c r="IA62" t="e">
        <f>AND(#REF!,"AAAAAD/7+uo=")</f>
        <v>#REF!</v>
      </c>
      <c r="IB62" t="e">
        <f>AND(#REF!,"AAAAAD/7+us=")</f>
        <v>#REF!</v>
      </c>
      <c r="IC62" t="e">
        <f>AND(#REF!,"AAAAAD/7+uw=")</f>
        <v>#REF!</v>
      </c>
      <c r="ID62" t="e">
        <f>AND(#REF!,"AAAAAD/7+u0=")</f>
        <v>#REF!</v>
      </c>
      <c r="IE62" t="e">
        <f>AND(#REF!,"AAAAAD/7+u4=")</f>
        <v>#REF!</v>
      </c>
      <c r="IF62" t="e">
        <f>AND(#REF!,"AAAAAD/7+u8=")</f>
        <v>#REF!</v>
      </c>
      <c r="IG62" t="e">
        <f>AND(#REF!,"AAAAAD/7+vA=")</f>
        <v>#REF!</v>
      </c>
      <c r="IH62" t="e">
        <f>AND(#REF!,"AAAAAD/7+vE=")</f>
        <v>#REF!</v>
      </c>
      <c r="II62" t="e">
        <f>AND(#REF!,"AAAAAD/7+vI=")</f>
        <v>#REF!</v>
      </c>
      <c r="IJ62" t="e">
        <f>AND(#REF!,"AAAAAD/7+vM=")</f>
        <v>#REF!</v>
      </c>
      <c r="IK62" t="e">
        <f>AND(#REF!,"AAAAAD/7+vQ=")</f>
        <v>#REF!</v>
      </c>
      <c r="IL62" t="e">
        <f>AND(#REF!,"AAAAAD/7+vU=")</f>
        <v>#REF!</v>
      </c>
      <c r="IM62" t="e">
        <f>AND(#REF!,"AAAAAD/7+vY=")</f>
        <v>#REF!</v>
      </c>
      <c r="IN62" t="e">
        <f>AND(#REF!,"AAAAAD/7+vc=")</f>
        <v>#REF!</v>
      </c>
      <c r="IO62" t="e">
        <f>AND(#REF!,"AAAAAD/7+vg=")</f>
        <v>#REF!</v>
      </c>
      <c r="IP62" t="e">
        <f>AND(#REF!,"AAAAAD/7+vk=")</f>
        <v>#REF!</v>
      </c>
      <c r="IQ62" t="e">
        <f>AND(#REF!,"AAAAAD/7+vo=")</f>
        <v>#REF!</v>
      </c>
      <c r="IR62" t="e">
        <f>AND(#REF!,"AAAAAD/7+vs=")</f>
        <v>#REF!</v>
      </c>
      <c r="IS62" t="e">
        <f>AND(#REF!,"AAAAAD/7+vw=")</f>
        <v>#REF!</v>
      </c>
      <c r="IT62" t="e">
        <f>IF(#REF!,"AAAAAD/7+v0=",0)</f>
        <v>#REF!</v>
      </c>
      <c r="IU62" t="e">
        <f>AND(#REF!,"AAAAAD/7+v4=")</f>
        <v>#REF!</v>
      </c>
      <c r="IV62" t="e">
        <f>AND(#REF!,"AAAAAD/7+v8=")</f>
        <v>#REF!</v>
      </c>
    </row>
    <row r="63" spans="1:256" x14ac:dyDescent="0.15">
      <c r="A63" t="e">
        <f>AND(#REF!,"AAAAAFlNZwA=")</f>
        <v>#REF!</v>
      </c>
      <c r="B63" t="e">
        <f>AND(#REF!,"AAAAAFlNZwE=")</f>
        <v>#REF!</v>
      </c>
      <c r="C63" t="e">
        <f>AND(#REF!,"AAAAAFlNZwI=")</f>
        <v>#REF!</v>
      </c>
      <c r="D63" t="e">
        <f>AND(#REF!,"AAAAAFlNZwM=")</f>
        <v>#REF!</v>
      </c>
      <c r="E63" t="e">
        <f>AND(#REF!,"AAAAAFlNZwQ=")</f>
        <v>#REF!</v>
      </c>
      <c r="F63" t="e">
        <f>AND(#REF!,"AAAAAFlNZwU=")</f>
        <v>#REF!</v>
      </c>
      <c r="G63" t="e">
        <f>AND(#REF!,"AAAAAFlNZwY=")</f>
        <v>#REF!</v>
      </c>
      <c r="H63" t="e">
        <f>AND(#REF!,"AAAAAFlNZwc=")</f>
        <v>#REF!</v>
      </c>
      <c r="I63" t="e">
        <f>AND(#REF!,"AAAAAFlNZwg=")</f>
        <v>#REF!</v>
      </c>
      <c r="J63" t="e">
        <f>AND(#REF!,"AAAAAFlNZwk=")</f>
        <v>#REF!</v>
      </c>
      <c r="K63" t="e">
        <f>AND(#REF!,"AAAAAFlNZwo=")</f>
        <v>#REF!</v>
      </c>
      <c r="L63" t="e">
        <f>AND(#REF!,"AAAAAFlNZws=")</f>
        <v>#REF!</v>
      </c>
      <c r="M63" t="e">
        <f>AND(#REF!,"AAAAAFlNZww=")</f>
        <v>#REF!</v>
      </c>
      <c r="N63" t="e">
        <f>AND(#REF!,"AAAAAFlNZw0=")</f>
        <v>#REF!</v>
      </c>
      <c r="O63" t="e">
        <f>AND(#REF!,"AAAAAFlNZw4=")</f>
        <v>#REF!</v>
      </c>
      <c r="P63" t="e">
        <f>AND(#REF!,"AAAAAFlNZw8=")</f>
        <v>#REF!</v>
      </c>
      <c r="Q63" t="e">
        <f>AND(#REF!,"AAAAAFlNZxA=")</f>
        <v>#REF!</v>
      </c>
      <c r="R63" t="e">
        <f>AND(#REF!,"AAAAAFlNZxE=")</f>
        <v>#REF!</v>
      </c>
      <c r="S63" t="e">
        <f>AND(#REF!,"AAAAAFlNZxI=")</f>
        <v>#REF!</v>
      </c>
      <c r="T63" t="e">
        <f>AND(#REF!,"AAAAAFlNZxM=")</f>
        <v>#REF!</v>
      </c>
      <c r="U63" t="e">
        <f>AND(#REF!,"AAAAAFlNZxQ=")</f>
        <v>#REF!</v>
      </c>
      <c r="V63" t="e">
        <f>IF(#REF!,"AAAAAFlNZxU=",0)</f>
        <v>#REF!</v>
      </c>
      <c r="W63" t="e">
        <f>AND(#REF!,"AAAAAFlNZxY=")</f>
        <v>#REF!</v>
      </c>
      <c r="X63" t="e">
        <f>AND(#REF!,"AAAAAFlNZxc=")</f>
        <v>#REF!</v>
      </c>
      <c r="Y63" t="e">
        <f>AND(#REF!,"AAAAAFlNZxg=")</f>
        <v>#REF!</v>
      </c>
      <c r="Z63" t="e">
        <f>AND(#REF!,"AAAAAFlNZxk=")</f>
        <v>#REF!</v>
      </c>
      <c r="AA63" t="e">
        <f>AND(#REF!,"AAAAAFlNZxo=")</f>
        <v>#REF!</v>
      </c>
      <c r="AB63" t="e">
        <f>AND(#REF!,"AAAAAFlNZxs=")</f>
        <v>#REF!</v>
      </c>
      <c r="AC63" t="e">
        <f>AND(#REF!,"AAAAAFlNZxw=")</f>
        <v>#REF!</v>
      </c>
      <c r="AD63" t="e">
        <f>AND(#REF!,"AAAAAFlNZx0=")</f>
        <v>#REF!</v>
      </c>
      <c r="AE63" t="e">
        <f>AND(#REF!,"AAAAAFlNZx4=")</f>
        <v>#REF!</v>
      </c>
      <c r="AF63" t="e">
        <f>AND(#REF!,"AAAAAFlNZx8=")</f>
        <v>#REF!</v>
      </c>
      <c r="AG63" t="e">
        <f>AND(#REF!,"AAAAAFlNZyA=")</f>
        <v>#REF!</v>
      </c>
      <c r="AH63" t="e">
        <f>AND(#REF!,"AAAAAFlNZyE=")</f>
        <v>#REF!</v>
      </c>
      <c r="AI63" t="e">
        <f>AND(#REF!,"AAAAAFlNZyI=")</f>
        <v>#REF!</v>
      </c>
      <c r="AJ63" t="e">
        <f>AND(#REF!,"AAAAAFlNZyM=")</f>
        <v>#REF!</v>
      </c>
      <c r="AK63" t="e">
        <f>AND(#REF!,"AAAAAFlNZyQ=")</f>
        <v>#REF!</v>
      </c>
      <c r="AL63" t="e">
        <f>AND(#REF!,"AAAAAFlNZyU=")</f>
        <v>#REF!</v>
      </c>
      <c r="AM63" t="e">
        <f>AND(#REF!,"AAAAAFlNZyY=")</f>
        <v>#REF!</v>
      </c>
      <c r="AN63" t="e">
        <f>AND(#REF!,"AAAAAFlNZyc=")</f>
        <v>#REF!</v>
      </c>
      <c r="AO63" t="e">
        <f>AND(#REF!,"AAAAAFlNZyg=")</f>
        <v>#REF!</v>
      </c>
      <c r="AP63" t="e">
        <f>AND(#REF!,"AAAAAFlNZyk=")</f>
        <v>#REF!</v>
      </c>
      <c r="AQ63" t="e">
        <f>AND(#REF!,"AAAAAFlNZyo=")</f>
        <v>#REF!</v>
      </c>
      <c r="AR63" t="e">
        <f>AND(#REF!,"AAAAAFlNZys=")</f>
        <v>#REF!</v>
      </c>
      <c r="AS63" t="e">
        <f>AND(#REF!,"AAAAAFlNZyw=")</f>
        <v>#REF!</v>
      </c>
      <c r="AT63" t="e">
        <f>IF(#REF!,"AAAAAFlNZy0=",0)</f>
        <v>#REF!</v>
      </c>
      <c r="AU63" t="e">
        <f>AND(#REF!,"AAAAAFlNZy4=")</f>
        <v>#REF!</v>
      </c>
      <c r="AV63" t="e">
        <f>AND(#REF!,"AAAAAFlNZy8=")</f>
        <v>#REF!</v>
      </c>
      <c r="AW63" t="e">
        <f>AND(#REF!,"AAAAAFlNZzA=")</f>
        <v>#REF!</v>
      </c>
      <c r="AX63" t="e">
        <f>AND(#REF!,"AAAAAFlNZzE=")</f>
        <v>#REF!</v>
      </c>
      <c r="AY63" t="e">
        <f>AND(#REF!,"AAAAAFlNZzI=")</f>
        <v>#REF!</v>
      </c>
      <c r="AZ63" t="e">
        <f>AND(#REF!,"AAAAAFlNZzM=")</f>
        <v>#REF!</v>
      </c>
      <c r="BA63" t="e">
        <f>AND(#REF!,"AAAAAFlNZzQ=")</f>
        <v>#REF!</v>
      </c>
      <c r="BB63" t="e">
        <f>AND(#REF!,"AAAAAFlNZzU=")</f>
        <v>#REF!</v>
      </c>
      <c r="BC63" t="e">
        <f>AND(#REF!,"AAAAAFlNZzY=")</f>
        <v>#REF!</v>
      </c>
      <c r="BD63" t="e">
        <f>AND(#REF!,"AAAAAFlNZzc=")</f>
        <v>#REF!</v>
      </c>
      <c r="BE63" t="e">
        <f>AND(#REF!,"AAAAAFlNZzg=")</f>
        <v>#REF!</v>
      </c>
      <c r="BF63" t="e">
        <f>AND(#REF!,"AAAAAFlNZzk=")</f>
        <v>#REF!</v>
      </c>
      <c r="BG63" t="e">
        <f>AND(#REF!,"AAAAAFlNZzo=")</f>
        <v>#REF!</v>
      </c>
      <c r="BH63" t="e">
        <f>AND(#REF!,"AAAAAFlNZzs=")</f>
        <v>#REF!</v>
      </c>
      <c r="BI63" t="e">
        <f>AND(#REF!,"AAAAAFlNZzw=")</f>
        <v>#REF!</v>
      </c>
      <c r="BJ63" t="e">
        <f>AND(#REF!,"AAAAAFlNZz0=")</f>
        <v>#REF!</v>
      </c>
      <c r="BK63" t="e">
        <f>AND(#REF!,"AAAAAFlNZz4=")</f>
        <v>#REF!</v>
      </c>
      <c r="BL63" t="e">
        <f>AND(#REF!,"AAAAAFlNZz8=")</f>
        <v>#REF!</v>
      </c>
      <c r="BM63" t="e">
        <f>AND(#REF!,"AAAAAFlNZ0A=")</f>
        <v>#REF!</v>
      </c>
      <c r="BN63" t="e">
        <f>AND(#REF!,"AAAAAFlNZ0E=")</f>
        <v>#REF!</v>
      </c>
      <c r="BO63" t="e">
        <f>AND(#REF!,"AAAAAFlNZ0I=")</f>
        <v>#REF!</v>
      </c>
      <c r="BP63" t="e">
        <f>AND(#REF!,"AAAAAFlNZ0M=")</f>
        <v>#REF!</v>
      </c>
      <c r="BQ63" t="e">
        <f>AND(#REF!,"AAAAAFlNZ0Q=")</f>
        <v>#REF!</v>
      </c>
      <c r="BR63" t="e">
        <f>IF(#REF!,"AAAAAFlNZ0U=",0)</f>
        <v>#REF!</v>
      </c>
      <c r="BS63" t="e">
        <f>AND(#REF!,"AAAAAFlNZ0Y=")</f>
        <v>#REF!</v>
      </c>
      <c r="BT63" t="e">
        <f>AND(#REF!,"AAAAAFlNZ0c=")</f>
        <v>#REF!</v>
      </c>
      <c r="BU63" t="e">
        <f>AND(#REF!,"AAAAAFlNZ0g=")</f>
        <v>#REF!</v>
      </c>
      <c r="BV63" t="e">
        <f>AND(#REF!,"AAAAAFlNZ0k=")</f>
        <v>#REF!</v>
      </c>
      <c r="BW63" t="e">
        <f>AND(#REF!,"AAAAAFlNZ0o=")</f>
        <v>#REF!</v>
      </c>
      <c r="BX63" t="e">
        <f>AND(#REF!,"AAAAAFlNZ0s=")</f>
        <v>#REF!</v>
      </c>
      <c r="BY63" t="e">
        <f>AND(#REF!,"AAAAAFlNZ0w=")</f>
        <v>#REF!</v>
      </c>
      <c r="BZ63" t="e">
        <f>AND(#REF!,"AAAAAFlNZ00=")</f>
        <v>#REF!</v>
      </c>
      <c r="CA63" t="e">
        <f>AND(#REF!,"AAAAAFlNZ04=")</f>
        <v>#REF!</v>
      </c>
      <c r="CB63" t="e">
        <f>AND(#REF!,"AAAAAFlNZ08=")</f>
        <v>#REF!</v>
      </c>
      <c r="CC63" t="e">
        <f>AND(#REF!,"AAAAAFlNZ1A=")</f>
        <v>#REF!</v>
      </c>
      <c r="CD63" t="e">
        <f>AND(#REF!,"AAAAAFlNZ1E=")</f>
        <v>#REF!</v>
      </c>
      <c r="CE63" t="e">
        <f>AND(#REF!,"AAAAAFlNZ1I=")</f>
        <v>#REF!</v>
      </c>
      <c r="CF63" t="e">
        <f>AND(#REF!,"AAAAAFlNZ1M=")</f>
        <v>#REF!</v>
      </c>
      <c r="CG63" t="e">
        <f>AND(#REF!,"AAAAAFlNZ1Q=")</f>
        <v>#REF!</v>
      </c>
      <c r="CH63" t="e">
        <f>AND(#REF!,"AAAAAFlNZ1U=")</f>
        <v>#REF!</v>
      </c>
      <c r="CI63" t="e">
        <f>AND(#REF!,"AAAAAFlNZ1Y=")</f>
        <v>#REF!</v>
      </c>
      <c r="CJ63" t="e">
        <f>AND(#REF!,"AAAAAFlNZ1c=")</f>
        <v>#REF!</v>
      </c>
      <c r="CK63" t="e">
        <f>AND(#REF!,"AAAAAFlNZ1g=")</f>
        <v>#REF!</v>
      </c>
      <c r="CL63" t="e">
        <f>AND(#REF!,"AAAAAFlNZ1k=")</f>
        <v>#REF!</v>
      </c>
      <c r="CM63" t="e">
        <f>AND(#REF!,"AAAAAFlNZ1o=")</f>
        <v>#REF!</v>
      </c>
      <c r="CN63" t="e">
        <f>AND(#REF!,"AAAAAFlNZ1s=")</f>
        <v>#REF!</v>
      </c>
      <c r="CO63" t="e">
        <f>AND(#REF!,"AAAAAFlNZ1w=")</f>
        <v>#REF!</v>
      </c>
      <c r="CP63" t="e">
        <f>IF(#REF!,"AAAAAFlNZ10=",0)</f>
        <v>#REF!</v>
      </c>
      <c r="CQ63" t="e">
        <f>AND(#REF!,"AAAAAFlNZ14=")</f>
        <v>#REF!</v>
      </c>
      <c r="CR63" t="e">
        <f>AND(#REF!,"AAAAAFlNZ18=")</f>
        <v>#REF!</v>
      </c>
      <c r="CS63" t="e">
        <f>AND(#REF!,"AAAAAFlNZ2A=")</f>
        <v>#REF!</v>
      </c>
      <c r="CT63" t="e">
        <f>AND(#REF!,"AAAAAFlNZ2E=")</f>
        <v>#REF!</v>
      </c>
      <c r="CU63" t="e">
        <f>AND(#REF!,"AAAAAFlNZ2I=")</f>
        <v>#REF!</v>
      </c>
      <c r="CV63" t="e">
        <f>AND(#REF!,"AAAAAFlNZ2M=")</f>
        <v>#REF!</v>
      </c>
      <c r="CW63" t="e">
        <f>AND(#REF!,"AAAAAFlNZ2Q=")</f>
        <v>#REF!</v>
      </c>
      <c r="CX63" t="e">
        <f>AND(#REF!,"AAAAAFlNZ2U=")</f>
        <v>#REF!</v>
      </c>
      <c r="CY63" t="e">
        <f>AND(#REF!,"AAAAAFlNZ2Y=")</f>
        <v>#REF!</v>
      </c>
      <c r="CZ63" t="e">
        <f>AND(#REF!,"AAAAAFlNZ2c=")</f>
        <v>#REF!</v>
      </c>
      <c r="DA63" t="e">
        <f>AND(#REF!,"AAAAAFlNZ2g=")</f>
        <v>#REF!</v>
      </c>
      <c r="DB63" t="e">
        <f>AND(#REF!,"AAAAAFlNZ2k=")</f>
        <v>#REF!</v>
      </c>
      <c r="DC63" t="e">
        <f>AND(#REF!,"AAAAAFlNZ2o=")</f>
        <v>#REF!</v>
      </c>
      <c r="DD63" t="e">
        <f>AND(#REF!,"AAAAAFlNZ2s=")</f>
        <v>#REF!</v>
      </c>
      <c r="DE63" t="e">
        <f>AND(#REF!,"AAAAAFlNZ2w=")</f>
        <v>#REF!</v>
      </c>
      <c r="DF63" t="e">
        <f>AND(#REF!,"AAAAAFlNZ20=")</f>
        <v>#REF!</v>
      </c>
      <c r="DG63" t="e">
        <f>AND(#REF!,"AAAAAFlNZ24=")</f>
        <v>#REF!</v>
      </c>
      <c r="DH63" t="e">
        <f>AND(#REF!,"AAAAAFlNZ28=")</f>
        <v>#REF!</v>
      </c>
      <c r="DI63" t="e">
        <f>AND(#REF!,"AAAAAFlNZ3A=")</f>
        <v>#REF!</v>
      </c>
      <c r="DJ63" t="e">
        <f>AND(#REF!,"AAAAAFlNZ3E=")</f>
        <v>#REF!</v>
      </c>
      <c r="DK63" t="e">
        <f>AND(#REF!,"AAAAAFlNZ3I=")</f>
        <v>#REF!</v>
      </c>
      <c r="DL63" t="e">
        <f>AND(#REF!,"AAAAAFlNZ3M=")</f>
        <v>#REF!</v>
      </c>
      <c r="DM63" t="e">
        <f>AND(#REF!,"AAAAAFlNZ3Q=")</f>
        <v>#REF!</v>
      </c>
      <c r="DN63" t="e">
        <f>IF(#REF!,"AAAAAFlNZ3U=",0)</f>
        <v>#REF!</v>
      </c>
      <c r="DO63" t="e">
        <f>AND(#REF!,"AAAAAFlNZ3Y=")</f>
        <v>#REF!</v>
      </c>
      <c r="DP63" t="e">
        <f>AND(#REF!,"AAAAAFlNZ3c=")</f>
        <v>#REF!</v>
      </c>
      <c r="DQ63" t="e">
        <f>AND(#REF!,"AAAAAFlNZ3g=")</f>
        <v>#REF!</v>
      </c>
      <c r="DR63" t="e">
        <f>AND(#REF!,"AAAAAFlNZ3k=")</f>
        <v>#REF!</v>
      </c>
      <c r="DS63" t="e">
        <f>AND(#REF!,"AAAAAFlNZ3o=")</f>
        <v>#REF!</v>
      </c>
      <c r="DT63" t="e">
        <f>AND(#REF!,"AAAAAFlNZ3s=")</f>
        <v>#REF!</v>
      </c>
      <c r="DU63" t="e">
        <f>AND(#REF!,"AAAAAFlNZ3w=")</f>
        <v>#REF!</v>
      </c>
      <c r="DV63" t="e">
        <f>AND(#REF!,"AAAAAFlNZ30=")</f>
        <v>#REF!</v>
      </c>
      <c r="DW63" t="e">
        <f>AND(#REF!,"AAAAAFlNZ34=")</f>
        <v>#REF!</v>
      </c>
      <c r="DX63" t="e">
        <f>AND(#REF!,"AAAAAFlNZ38=")</f>
        <v>#REF!</v>
      </c>
      <c r="DY63" t="e">
        <f>AND(#REF!,"AAAAAFlNZ4A=")</f>
        <v>#REF!</v>
      </c>
      <c r="DZ63" t="e">
        <f>AND(#REF!,"AAAAAFlNZ4E=")</f>
        <v>#REF!</v>
      </c>
      <c r="EA63" t="e">
        <f>AND(#REF!,"AAAAAFlNZ4I=")</f>
        <v>#REF!</v>
      </c>
      <c r="EB63" t="e">
        <f>AND(#REF!,"AAAAAFlNZ4M=")</f>
        <v>#REF!</v>
      </c>
      <c r="EC63" t="e">
        <f>AND(#REF!,"AAAAAFlNZ4Q=")</f>
        <v>#REF!</v>
      </c>
      <c r="ED63" t="e">
        <f>AND(#REF!,"AAAAAFlNZ4U=")</f>
        <v>#REF!</v>
      </c>
      <c r="EE63" t="e">
        <f>AND(#REF!,"AAAAAFlNZ4Y=")</f>
        <v>#REF!</v>
      </c>
      <c r="EF63" t="e">
        <f>AND(#REF!,"AAAAAFlNZ4c=")</f>
        <v>#REF!</v>
      </c>
      <c r="EG63" t="e">
        <f>AND(#REF!,"AAAAAFlNZ4g=")</f>
        <v>#REF!</v>
      </c>
      <c r="EH63" t="e">
        <f>AND(#REF!,"AAAAAFlNZ4k=")</f>
        <v>#REF!</v>
      </c>
      <c r="EI63" t="e">
        <f>AND(#REF!,"AAAAAFlNZ4o=")</f>
        <v>#REF!</v>
      </c>
      <c r="EJ63" t="e">
        <f>AND(#REF!,"AAAAAFlNZ4s=")</f>
        <v>#REF!</v>
      </c>
      <c r="EK63" t="e">
        <f>AND(#REF!,"AAAAAFlNZ4w=")</f>
        <v>#REF!</v>
      </c>
      <c r="EL63" t="e">
        <f>IF(#REF!,"AAAAAFlNZ40=",0)</f>
        <v>#REF!</v>
      </c>
      <c r="EM63" t="e">
        <f>AND(#REF!,"AAAAAFlNZ44=")</f>
        <v>#REF!</v>
      </c>
      <c r="EN63" t="e">
        <f>AND(#REF!,"AAAAAFlNZ48=")</f>
        <v>#REF!</v>
      </c>
      <c r="EO63" t="e">
        <f>AND(#REF!,"AAAAAFlNZ5A=")</f>
        <v>#REF!</v>
      </c>
      <c r="EP63" t="e">
        <f>AND(#REF!,"AAAAAFlNZ5E=")</f>
        <v>#REF!</v>
      </c>
      <c r="EQ63" t="e">
        <f>AND(#REF!,"AAAAAFlNZ5I=")</f>
        <v>#REF!</v>
      </c>
      <c r="ER63" t="e">
        <f>AND(#REF!,"AAAAAFlNZ5M=")</f>
        <v>#REF!</v>
      </c>
      <c r="ES63" t="e">
        <f>AND(#REF!,"AAAAAFlNZ5Q=")</f>
        <v>#REF!</v>
      </c>
      <c r="ET63" t="e">
        <f>AND(#REF!,"AAAAAFlNZ5U=")</f>
        <v>#REF!</v>
      </c>
      <c r="EU63" t="e">
        <f>AND(#REF!,"AAAAAFlNZ5Y=")</f>
        <v>#REF!</v>
      </c>
      <c r="EV63" t="e">
        <f>AND(#REF!,"AAAAAFlNZ5c=")</f>
        <v>#REF!</v>
      </c>
      <c r="EW63" t="e">
        <f>AND(#REF!,"AAAAAFlNZ5g=")</f>
        <v>#REF!</v>
      </c>
      <c r="EX63" t="e">
        <f>AND(#REF!,"AAAAAFlNZ5k=")</f>
        <v>#REF!</v>
      </c>
      <c r="EY63" t="e">
        <f>AND(#REF!,"AAAAAFlNZ5o=")</f>
        <v>#REF!</v>
      </c>
      <c r="EZ63" t="e">
        <f>AND(#REF!,"AAAAAFlNZ5s=")</f>
        <v>#REF!</v>
      </c>
      <c r="FA63" t="e">
        <f>AND(#REF!,"AAAAAFlNZ5w=")</f>
        <v>#REF!</v>
      </c>
      <c r="FB63" t="e">
        <f>AND(#REF!,"AAAAAFlNZ50=")</f>
        <v>#REF!</v>
      </c>
      <c r="FC63" t="e">
        <f>AND(#REF!,"AAAAAFlNZ54=")</f>
        <v>#REF!</v>
      </c>
      <c r="FD63" t="e">
        <f>AND(#REF!,"AAAAAFlNZ58=")</f>
        <v>#REF!</v>
      </c>
      <c r="FE63" t="e">
        <f>AND(#REF!,"AAAAAFlNZ6A=")</f>
        <v>#REF!</v>
      </c>
      <c r="FF63" t="e">
        <f>AND(#REF!,"AAAAAFlNZ6E=")</f>
        <v>#REF!</v>
      </c>
      <c r="FG63" t="e">
        <f>AND(#REF!,"AAAAAFlNZ6I=")</f>
        <v>#REF!</v>
      </c>
      <c r="FH63" t="e">
        <f>AND(#REF!,"AAAAAFlNZ6M=")</f>
        <v>#REF!</v>
      </c>
      <c r="FI63" t="e">
        <f>AND(#REF!,"AAAAAFlNZ6Q=")</f>
        <v>#REF!</v>
      </c>
      <c r="FJ63" t="e">
        <f>IF(#REF!,"AAAAAFlNZ6U=",0)</f>
        <v>#REF!</v>
      </c>
      <c r="FK63" t="e">
        <f>AND(#REF!,"AAAAAFlNZ6Y=")</f>
        <v>#REF!</v>
      </c>
      <c r="FL63" t="e">
        <f>AND(#REF!,"AAAAAFlNZ6c=")</f>
        <v>#REF!</v>
      </c>
      <c r="FM63" t="e">
        <f>AND(#REF!,"AAAAAFlNZ6g=")</f>
        <v>#REF!</v>
      </c>
      <c r="FN63" t="e">
        <f>AND(#REF!,"AAAAAFlNZ6k=")</f>
        <v>#REF!</v>
      </c>
      <c r="FO63" t="e">
        <f>AND(#REF!,"AAAAAFlNZ6o=")</f>
        <v>#REF!</v>
      </c>
      <c r="FP63" t="e">
        <f>AND(#REF!,"AAAAAFlNZ6s=")</f>
        <v>#REF!</v>
      </c>
      <c r="FQ63" t="e">
        <f>AND(#REF!,"AAAAAFlNZ6w=")</f>
        <v>#REF!</v>
      </c>
      <c r="FR63" t="e">
        <f>AND(#REF!,"AAAAAFlNZ60=")</f>
        <v>#REF!</v>
      </c>
      <c r="FS63" t="e">
        <f>AND(#REF!,"AAAAAFlNZ64=")</f>
        <v>#REF!</v>
      </c>
      <c r="FT63" t="e">
        <f>AND(#REF!,"AAAAAFlNZ68=")</f>
        <v>#REF!</v>
      </c>
      <c r="FU63" t="e">
        <f>AND(#REF!,"AAAAAFlNZ7A=")</f>
        <v>#REF!</v>
      </c>
      <c r="FV63" t="e">
        <f>AND(#REF!,"AAAAAFlNZ7E=")</f>
        <v>#REF!</v>
      </c>
      <c r="FW63" t="e">
        <f>AND(#REF!,"AAAAAFlNZ7I=")</f>
        <v>#REF!</v>
      </c>
      <c r="FX63" t="e">
        <f>AND(#REF!,"AAAAAFlNZ7M=")</f>
        <v>#REF!</v>
      </c>
      <c r="FY63" t="e">
        <f>AND(#REF!,"AAAAAFlNZ7Q=")</f>
        <v>#REF!</v>
      </c>
      <c r="FZ63" t="e">
        <f>AND(#REF!,"AAAAAFlNZ7U=")</f>
        <v>#REF!</v>
      </c>
      <c r="GA63" t="e">
        <f>AND(#REF!,"AAAAAFlNZ7Y=")</f>
        <v>#REF!</v>
      </c>
      <c r="GB63" t="e">
        <f>AND(#REF!,"AAAAAFlNZ7c=")</f>
        <v>#REF!</v>
      </c>
      <c r="GC63" t="e">
        <f>AND(#REF!,"AAAAAFlNZ7g=")</f>
        <v>#REF!</v>
      </c>
      <c r="GD63" t="e">
        <f>AND(#REF!,"AAAAAFlNZ7k=")</f>
        <v>#REF!</v>
      </c>
      <c r="GE63" t="e">
        <f>AND(#REF!,"AAAAAFlNZ7o=")</f>
        <v>#REF!</v>
      </c>
      <c r="GF63" t="e">
        <f>AND(#REF!,"AAAAAFlNZ7s=")</f>
        <v>#REF!</v>
      </c>
      <c r="GG63" t="e">
        <f>AND(#REF!,"AAAAAFlNZ7w=")</f>
        <v>#REF!</v>
      </c>
      <c r="GH63" t="e">
        <f>IF(#REF!,"AAAAAFlNZ70=",0)</f>
        <v>#REF!</v>
      </c>
      <c r="GI63" t="e">
        <f>AND(#REF!,"AAAAAFlNZ74=")</f>
        <v>#REF!</v>
      </c>
      <c r="GJ63" t="e">
        <f>AND(#REF!,"AAAAAFlNZ78=")</f>
        <v>#REF!</v>
      </c>
      <c r="GK63" t="e">
        <f>AND(#REF!,"AAAAAFlNZ8A=")</f>
        <v>#REF!</v>
      </c>
      <c r="GL63" t="e">
        <f>AND(#REF!,"AAAAAFlNZ8E=")</f>
        <v>#REF!</v>
      </c>
      <c r="GM63" t="e">
        <f>AND(#REF!,"AAAAAFlNZ8I=")</f>
        <v>#REF!</v>
      </c>
      <c r="GN63" t="e">
        <f>AND(#REF!,"AAAAAFlNZ8M=")</f>
        <v>#REF!</v>
      </c>
      <c r="GO63" t="e">
        <f>AND(#REF!,"AAAAAFlNZ8Q=")</f>
        <v>#REF!</v>
      </c>
      <c r="GP63" t="e">
        <f>AND(#REF!,"AAAAAFlNZ8U=")</f>
        <v>#REF!</v>
      </c>
      <c r="GQ63" t="e">
        <f>AND(#REF!,"AAAAAFlNZ8Y=")</f>
        <v>#REF!</v>
      </c>
      <c r="GR63" t="e">
        <f>AND(#REF!,"AAAAAFlNZ8c=")</f>
        <v>#REF!</v>
      </c>
      <c r="GS63" t="e">
        <f>AND(#REF!,"AAAAAFlNZ8g=")</f>
        <v>#REF!</v>
      </c>
      <c r="GT63" t="e">
        <f>AND(#REF!,"AAAAAFlNZ8k=")</f>
        <v>#REF!</v>
      </c>
      <c r="GU63" t="e">
        <f>AND(#REF!,"AAAAAFlNZ8o=")</f>
        <v>#REF!</v>
      </c>
      <c r="GV63" t="e">
        <f>AND(#REF!,"AAAAAFlNZ8s=")</f>
        <v>#REF!</v>
      </c>
      <c r="GW63" t="e">
        <f>AND(#REF!,"AAAAAFlNZ8w=")</f>
        <v>#REF!</v>
      </c>
      <c r="GX63" t="e">
        <f>AND(#REF!,"AAAAAFlNZ80=")</f>
        <v>#REF!</v>
      </c>
      <c r="GY63" t="e">
        <f>AND(#REF!,"AAAAAFlNZ84=")</f>
        <v>#REF!</v>
      </c>
      <c r="GZ63" t="e">
        <f>AND(#REF!,"AAAAAFlNZ88=")</f>
        <v>#REF!</v>
      </c>
      <c r="HA63" t="e">
        <f>AND(#REF!,"AAAAAFlNZ9A=")</f>
        <v>#REF!</v>
      </c>
      <c r="HB63" t="e">
        <f>AND(#REF!,"AAAAAFlNZ9E=")</f>
        <v>#REF!</v>
      </c>
      <c r="HC63" t="e">
        <f>AND(#REF!,"AAAAAFlNZ9I=")</f>
        <v>#REF!</v>
      </c>
      <c r="HD63" t="e">
        <f>AND(#REF!,"AAAAAFlNZ9M=")</f>
        <v>#REF!</v>
      </c>
      <c r="HE63" t="e">
        <f>AND(#REF!,"AAAAAFlNZ9Q=")</f>
        <v>#REF!</v>
      </c>
      <c r="HF63" t="e">
        <f>IF(#REF!,"AAAAAFlNZ9U=",0)</f>
        <v>#REF!</v>
      </c>
      <c r="HG63" t="e">
        <f>AND(#REF!,"AAAAAFlNZ9Y=")</f>
        <v>#REF!</v>
      </c>
      <c r="HH63" t="e">
        <f>AND(#REF!,"AAAAAFlNZ9c=")</f>
        <v>#REF!</v>
      </c>
      <c r="HI63" t="e">
        <f>AND(#REF!,"AAAAAFlNZ9g=")</f>
        <v>#REF!</v>
      </c>
      <c r="HJ63" t="e">
        <f>AND(#REF!,"AAAAAFlNZ9k=")</f>
        <v>#REF!</v>
      </c>
      <c r="HK63" t="e">
        <f>AND(#REF!,"AAAAAFlNZ9o=")</f>
        <v>#REF!</v>
      </c>
      <c r="HL63" t="e">
        <f>AND(#REF!,"AAAAAFlNZ9s=")</f>
        <v>#REF!</v>
      </c>
      <c r="HM63" t="e">
        <f>AND(#REF!,"AAAAAFlNZ9w=")</f>
        <v>#REF!</v>
      </c>
      <c r="HN63" t="e">
        <f>AND(#REF!,"AAAAAFlNZ90=")</f>
        <v>#REF!</v>
      </c>
      <c r="HO63" t="e">
        <f>AND(#REF!,"AAAAAFlNZ94=")</f>
        <v>#REF!</v>
      </c>
      <c r="HP63" t="e">
        <f>AND(#REF!,"AAAAAFlNZ98=")</f>
        <v>#REF!</v>
      </c>
      <c r="HQ63" t="e">
        <f>AND(#REF!,"AAAAAFlNZ+A=")</f>
        <v>#REF!</v>
      </c>
      <c r="HR63" t="e">
        <f>AND(#REF!,"AAAAAFlNZ+E=")</f>
        <v>#REF!</v>
      </c>
      <c r="HS63" t="e">
        <f>AND(#REF!,"AAAAAFlNZ+I=")</f>
        <v>#REF!</v>
      </c>
      <c r="HT63" t="e">
        <f>AND(#REF!,"AAAAAFlNZ+M=")</f>
        <v>#REF!</v>
      </c>
      <c r="HU63" t="e">
        <f>AND(#REF!,"AAAAAFlNZ+Q=")</f>
        <v>#REF!</v>
      </c>
      <c r="HV63" t="e">
        <f>AND(#REF!,"AAAAAFlNZ+U=")</f>
        <v>#REF!</v>
      </c>
      <c r="HW63" t="e">
        <f>AND(#REF!,"AAAAAFlNZ+Y=")</f>
        <v>#REF!</v>
      </c>
      <c r="HX63" t="e">
        <f>AND(#REF!,"AAAAAFlNZ+c=")</f>
        <v>#REF!</v>
      </c>
      <c r="HY63" t="e">
        <f>AND(#REF!,"AAAAAFlNZ+g=")</f>
        <v>#REF!</v>
      </c>
      <c r="HZ63" t="e">
        <f>AND(#REF!,"AAAAAFlNZ+k=")</f>
        <v>#REF!</v>
      </c>
      <c r="IA63" t="e">
        <f>AND(#REF!,"AAAAAFlNZ+o=")</f>
        <v>#REF!</v>
      </c>
      <c r="IB63" t="e">
        <f>AND(#REF!,"AAAAAFlNZ+s=")</f>
        <v>#REF!</v>
      </c>
      <c r="IC63" t="e">
        <f>AND(#REF!,"AAAAAFlNZ+w=")</f>
        <v>#REF!</v>
      </c>
      <c r="ID63" t="e">
        <f>IF(#REF!,"AAAAAFlNZ+0=",0)</f>
        <v>#REF!</v>
      </c>
      <c r="IE63" t="e">
        <f>AND(#REF!,"AAAAAFlNZ+4=")</f>
        <v>#REF!</v>
      </c>
      <c r="IF63" t="e">
        <f>AND(#REF!,"AAAAAFlNZ+8=")</f>
        <v>#REF!</v>
      </c>
      <c r="IG63" t="e">
        <f>AND(#REF!,"AAAAAFlNZ/A=")</f>
        <v>#REF!</v>
      </c>
      <c r="IH63" t="e">
        <f>AND(#REF!,"AAAAAFlNZ/E=")</f>
        <v>#REF!</v>
      </c>
      <c r="II63" t="e">
        <f>AND(#REF!,"AAAAAFlNZ/I=")</f>
        <v>#REF!</v>
      </c>
      <c r="IJ63" t="e">
        <f>AND(#REF!,"AAAAAFlNZ/M=")</f>
        <v>#REF!</v>
      </c>
      <c r="IK63" t="e">
        <f>AND(#REF!,"AAAAAFlNZ/Q=")</f>
        <v>#REF!</v>
      </c>
      <c r="IL63" t="e">
        <f>AND(#REF!,"AAAAAFlNZ/U=")</f>
        <v>#REF!</v>
      </c>
      <c r="IM63" t="e">
        <f>AND(#REF!,"AAAAAFlNZ/Y=")</f>
        <v>#REF!</v>
      </c>
      <c r="IN63" t="e">
        <f>AND(#REF!,"AAAAAFlNZ/c=")</f>
        <v>#REF!</v>
      </c>
      <c r="IO63" t="e">
        <f>AND(#REF!,"AAAAAFlNZ/g=")</f>
        <v>#REF!</v>
      </c>
      <c r="IP63" t="e">
        <f>AND(#REF!,"AAAAAFlNZ/k=")</f>
        <v>#REF!</v>
      </c>
      <c r="IQ63" t="e">
        <f>AND(#REF!,"AAAAAFlNZ/o=")</f>
        <v>#REF!</v>
      </c>
      <c r="IR63" t="e">
        <f>AND(#REF!,"AAAAAFlNZ/s=")</f>
        <v>#REF!</v>
      </c>
      <c r="IS63" t="e">
        <f>AND(#REF!,"AAAAAFlNZ/w=")</f>
        <v>#REF!</v>
      </c>
      <c r="IT63" t="e">
        <f>AND(#REF!,"AAAAAFlNZ/0=")</f>
        <v>#REF!</v>
      </c>
      <c r="IU63" t="e">
        <f>AND(#REF!,"AAAAAFlNZ/4=")</f>
        <v>#REF!</v>
      </c>
      <c r="IV63" t="e">
        <f>AND(#REF!,"AAAAAFlNZ/8=")</f>
        <v>#REF!</v>
      </c>
    </row>
    <row r="64" spans="1:256" x14ac:dyDescent="0.15">
      <c r="A64" t="e">
        <f>AND(#REF!,"AAAAAH/+6gA=")</f>
        <v>#REF!</v>
      </c>
      <c r="B64" t="e">
        <f>AND(#REF!,"AAAAAH/+6gE=")</f>
        <v>#REF!</v>
      </c>
      <c r="C64" t="e">
        <f>AND(#REF!,"AAAAAH/+6gI=")</f>
        <v>#REF!</v>
      </c>
      <c r="D64" t="e">
        <f>AND(#REF!,"AAAAAH/+6gM=")</f>
        <v>#REF!</v>
      </c>
      <c r="E64" t="e">
        <f>AND(#REF!,"AAAAAH/+6gQ=")</f>
        <v>#REF!</v>
      </c>
      <c r="F64" t="e">
        <f>IF(#REF!,"AAAAAH/+6gU=",0)</f>
        <v>#REF!</v>
      </c>
      <c r="G64" t="e">
        <f>AND(#REF!,"AAAAAH/+6gY=")</f>
        <v>#REF!</v>
      </c>
      <c r="H64" t="e">
        <f>AND(#REF!,"AAAAAH/+6gc=")</f>
        <v>#REF!</v>
      </c>
      <c r="I64" t="e">
        <f>AND(#REF!,"AAAAAH/+6gg=")</f>
        <v>#REF!</v>
      </c>
      <c r="J64" t="e">
        <f>AND(#REF!,"AAAAAH/+6gk=")</f>
        <v>#REF!</v>
      </c>
      <c r="K64" t="e">
        <f>AND(#REF!,"AAAAAH/+6go=")</f>
        <v>#REF!</v>
      </c>
      <c r="L64" t="e">
        <f>AND(#REF!,"AAAAAH/+6gs=")</f>
        <v>#REF!</v>
      </c>
      <c r="M64" t="e">
        <f>AND(#REF!,"AAAAAH/+6gw=")</f>
        <v>#REF!</v>
      </c>
      <c r="N64" t="e">
        <f>AND(#REF!,"AAAAAH/+6g0=")</f>
        <v>#REF!</v>
      </c>
      <c r="O64" t="e">
        <f>AND(#REF!,"AAAAAH/+6g4=")</f>
        <v>#REF!</v>
      </c>
      <c r="P64" t="e">
        <f>AND(#REF!,"AAAAAH/+6g8=")</f>
        <v>#REF!</v>
      </c>
      <c r="Q64" t="e">
        <f>AND(#REF!,"AAAAAH/+6hA=")</f>
        <v>#REF!</v>
      </c>
      <c r="R64" t="e">
        <f>AND(#REF!,"AAAAAH/+6hE=")</f>
        <v>#REF!</v>
      </c>
      <c r="S64" t="e">
        <f>AND(#REF!,"AAAAAH/+6hI=")</f>
        <v>#REF!</v>
      </c>
      <c r="T64" t="e">
        <f>AND(#REF!,"AAAAAH/+6hM=")</f>
        <v>#REF!</v>
      </c>
      <c r="U64" t="e">
        <f>AND(#REF!,"AAAAAH/+6hQ=")</f>
        <v>#REF!</v>
      </c>
      <c r="V64" t="e">
        <f>AND(#REF!,"AAAAAH/+6hU=")</f>
        <v>#REF!</v>
      </c>
      <c r="W64" t="e">
        <f>AND(#REF!,"AAAAAH/+6hY=")</f>
        <v>#REF!</v>
      </c>
      <c r="X64" t="e">
        <f>AND(#REF!,"AAAAAH/+6hc=")</f>
        <v>#REF!</v>
      </c>
      <c r="Y64" t="e">
        <f>AND(#REF!,"AAAAAH/+6hg=")</f>
        <v>#REF!</v>
      </c>
      <c r="Z64" t="e">
        <f>AND(#REF!,"AAAAAH/+6hk=")</f>
        <v>#REF!</v>
      </c>
      <c r="AA64" t="e">
        <f>AND(#REF!,"AAAAAH/+6ho=")</f>
        <v>#REF!</v>
      </c>
      <c r="AB64" t="e">
        <f>AND(#REF!,"AAAAAH/+6hs=")</f>
        <v>#REF!</v>
      </c>
      <c r="AC64" t="e">
        <f>AND(#REF!,"AAAAAH/+6hw=")</f>
        <v>#REF!</v>
      </c>
      <c r="AD64" t="e">
        <f>IF(#REF!,"AAAAAH/+6h0=",0)</f>
        <v>#REF!</v>
      </c>
      <c r="AE64" t="e">
        <f>AND(#REF!,"AAAAAH/+6h4=")</f>
        <v>#REF!</v>
      </c>
      <c r="AF64" t="e">
        <f>AND(#REF!,"AAAAAH/+6h8=")</f>
        <v>#REF!</v>
      </c>
      <c r="AG64" t="e">
        <f>AND(#REF!,"AAAAAH/+6iA=")</f>
        <v>#REF!</v>
      </c>
      <c r="AH64" t="e">
        <f>AND(#REF!,"AAAAAH/+6iE=")</f>
        <v>#REF!</v>
      </c>
      <c r="AI64" t="e">
        <f>AND(#REF!,"AAAAAH/+6iI=")</f>
        <v>#REF!</v>
      </c>
      <c r="AJ64" t="e">
        <f>AND(#REF!,"AAAAAH/+6iM=")</f>
        <v>#REF!</v>
      </c>
      <c r="AK64" t="e">
        <f>AND(#REF!,"AAAAAH/+6iQ=")</f>
        <v>#REF!</v>
      </c>
      <c r="AL64" t="e">
        <f>AND(#REF!,"AAAAAH/+6iU=")</f>
        <v>#REF!</v>
      </c>
      <c r="AM64" t="e">
        <f>AND(#REF!,"AAAAAH/+6iY=")</f>
        <v>#REF!</v>
      </c>
      <c r="AN64" t="e">
        <f>AND(#REF!,"AAAAAH/+6ic=")</f>
        <v>#REF!</v>
      </c>
      <c r="AO64" t="e">
        <f>AND(#REF!,"AAAAAH/+6ig=")</f>
        <v>#REF!</v>
      </c>
      <c r="AP64" t="e">
        <f>AND(#REF!,"AAAAAH/+6ik=")</f>
        <v>#REF!</v>
      </c>
      <c r="AQ64" t="e">
        <f>AND(#REF!,"AAAAAH/+6io=")</f>
        <v>#REF!</v>
      </c>
      <c r="AR64" t="e">
        <f>AND(#REF!,"AAAAAH/+6is=")</f>
        <v>#REF!</v>
      </c>
      <c r="AS64" t="e">
        <f>AND(#REF!,"AAAAAH/+6iw=")</f>
        <v>#REF!</v>
      </c>
      <c r="AT64" t="e">
        <f>AND(#REF!,"AAAAAH/+6i0=")</f>
        <v>#REF!</v>
      </c>
      <c r="AU64" t="e">
        <f>AND(#REF!,"AAAAAH/+6i4=")</f>
        <v>#REF!</v>
      </c>
      <c r="AV64" t="e">
        <f>AND(#REF!,"AAAAAH/+6i8=")</f>
        <v>#REF!</v>
      </c>
      <c r="AW64" t="e">
        <f>AND(#REF!,"AAAAAH/+6jA=")</f>
        <v>#REF!</v>
      </c>
      <c r="AX64" t="e">
        <f>AND(#REF!,"AAAAAH/+6jE=")</f>
        <v>#REF!</v>
      </c>
      <c r="AY64" t="e">
        <f>AND(#REF!,"AAAAAH/+6jI=")</f>
        <v>#REF!</v>
      </c>
      <c r="AZ64" t="e">
        <f>AND(#REF!,"AAAAAH/+6jM=")</f>
        <v>#REF!</v>
      </c>
      <c r="BA64" t="e">
        <f>AND(#REF!,"AAAAAH/+6jQ=")</f>
        <v>#REF!</v>
      </c>
      <c r="BB64" t="e">
        <f>IF(#REF!,"AAAAAH/+6jU=",0)</f>
        <v>#REF!</v>
      </c>
      <c r="BC64" t="e">
        <f>AND(#REF!,"AAAAAH/+6jY=")</f>
        <v>#REF!</v>
      </c>
      <c r="BD64" t="e">
        <f>AND(#REF!,"AAAAAH/+6jc=")</f>
        <v>#REF!</v>
      </c>
      <c r="BE64" t="e">
        <f>AND(#REF!,"AAAAAH/+6jg=")</f>
        <v>#REF!</v>
      </c>
      <c r="BF64" t="e">
        <f>AND(#REF!,"AAAAAH/+6jk=")</f>
        <v>#REF!</v>
      </c>
      <c r="BG64" t="e">
        <f>AND(#REF!,"AAAAAH/+6jo=")</f>
        <v>#REF!</v>
      </c>
      <c r="BH64" t="e">
        <f>AND(#REF!,"AAAAAH/+6js=")</f>
        <v>#REF!</v>
      </c>
      <c r="BI64" t="e">
        <f>AND(#REF!,"AAAAAH/+6jw=")</f>
        <v>#REF!</v>
      </c>
      <c r="BJ64" t="e">
        <f>AND(#REF!,"AAAAAH/+6j0=")</f>
        <v>#REF!</v>
      </c>
      <c r="BK64" t="e">
        <f>AND(#REF!,"AAAAAH/+6j4=")</f>
        <v>#REF!</v>
      </c>
      <c r="BL64" t="e">
        <f>AND(#REF!,"AAAAAH/+6j8=")</f>
        <v>#REF!</v>
      </c>
      <c r="BM64" t="e">
        <f>AND(#REF!,"AAAAAH/+6kA=")</f>
        <v>#REF!</v>
      </c>
      <c r="BN64" t="e">
        <f>AND(#REF!,"AAAAAH/+6kE=")</f>
        <v>#REF!</v>
      </c>
      <c r="BO64" t="e">
        <f>AND(#REF!,"AAAAAH/+6kI=")</f>
        <v>#REF!</v>
      </c>
      <c r="BP64" t="e">
        <f>AND(#REF!,"AAAAAH/+6kM=")</f>
        <v>#REF!</v>
      </c>
      <c r="BQ64" t="e">
        <f>AND(#REF!,"AAAAAH/+6kQ=")</f>
        <v>#REF!</v>
      </c>
      <c r="BR64" t="e">
        <f>AND(#REF!,"AAAAAH/+6kU=")</f>
        <v>#REF!</v>
      </c>
      <c r="BS64" t="e">
        <f>AND(#REF!,"AAAAAH/+6kY=")</f>
        <v>#REF!</v>
      </c>
      <c r="BT64" t="e">
        <f>AND(#REF!,"AAAAAH/+6kc=")</f>
        <v>#REF!</v>
      </c>
      <c r="BU64" t="e">
        <f>AND(#REF!,"AAAAAH/+6kg=")</f>
        <v>#REF!</v>
      </c>
      <c r="BV64" t="e">
        <f>AND(#REF!,"AAAAAH/+6kk=")</f>
        <v>#REF!</v>
      </c>
      <c r="BW64" t="e">
        <f>AND(#REF!,"AAAAAH/+6ko=")</f>
        <v>#REF!</v>
      </c>
      <c r="BX64" t="e">
        <f>AND(#REF!,"AAAAAH/+6ks=")</f>
        <v>#REF!</v>
      </c>
      <c r="BY64" t="e">
        <f>AND(#REF!,"AAAAAH/+6kw=")</f>
        <v>#REF!</v>
      </c>
      <c r="BZ64" t="e">
        <f>IF(#REF!,"AAAAAH/+6k0=",0)</f>
        <v>#REF!</v>
      </c>
      <c r="CA64" t="e">
        <f>AND(#REF!,"AAAAAH/+6k4=")</f>
        <v>#REF!</v>
      </c>
      <c r="CB64" t="e">
        <f>AND(#REF!,"AAAAAH/+6k8=")</f>
        <v>#REF!</v>
      </c>
      <c r="CC64" t="e">
        <f>AND(#REF!,"AAAAAH/+6lA=")</f>
        <v>#REF!</v>
      </c>
      <c r="CD64" t="e">
        <f>AND(#REF!,"AAAAAH/+6lE=")</f>
        <v>#REF!</v>
      </c>
      <c r="CE64" t="e">
        <f>AND(#REF!,"AAAAAH/+6lI=")</f>
        <v>#REF!</v>
      </c>
      <c r="CF64" t="e">
        <f>AND(#REF!,"AAAAAH/+6lM=")</f>
        <v>#REF!</v>
      </c>
      <c r="CG64" t="e">
        <f>AND(#REF!,"AAAAAH/+6lQ=")</f>
        <v>#REF!</v>
      </c>
      <c r="CH64" t="e">
        <f>AND(#REF!,"AAAAAH/+6lU=")</f>
        <v>#REF!</v>
      </c>
      <c r="CI64" t="e">
        <f>AND(#REF!,"AAAAAH/+6lY=")</f>
        <v>#REF!</v>
      </c>
      <c r="CJ64" t="e">
        <f>AND(#REF!,"AAAAAH/+6lc=")</f>
        <v>#REF!</v>
      </c>
      <c r="CK64" t="e">
        <f>AND(#REF!,"AAAAAH/+6lg=")</f>
        <v>#REF!</v>
      </c>
      <c r="CL64" t="e">
        <f>AND(#REF!,"AAAAAH/+6lk=")</f>
        <v>#REF!</v>
      </c>
      <c r="CM64" t="e">
        <f>AND(#REF!,"AAAAAH/+6lo=")</f>
        <v>#REF!</v>
      </c>
      <c r="CN64" t="e">
        <f>AND(#REF!,"AAAAAH/+6ls=")</f>
        <v>#REF!</v>
      </c>
      <c r="CO64" t="e">
        <f>AND(#REF!,"AAAAAH/+6lw=")</f>
        <v>#REF!</v>
      </c>
      <c r="CP64" t="e">
        <f>AND(#REF!,"AAAAAH/+6l0=")</f>
        <v>#REF!</v>
      </c>
      <c r="CQ64" t="e">
        <f>AND(#REF!,"AAAAAH/+6l4=")</f>
        <v>#REF!</v>
      </c>
      <c r="CR64" t="e">
        <f>AND(#REF!,"AAAAAH/+6l8=")</f>
        <v>#REF!</v>
      </c>
      <c r="CS64" t="e">
        <f>AND(#REF!,"AAAAAH/+6mA=")</f>
        <v>#REF!</v>
      </c>
      <c r="CT64" t="e">
        <f>AND(#REF!,"AAAAAH/+6mE=")</f>
        <v>#REF!</v>
      </c>
      <c r="CU64" t="e">
        <f>AND(#REF!,"AAAAAH/+6mI=")</f>
        <v>#REF!</v>
      </c>
      <c r="CV64" t="e">
        <f>AND(#REF!,"AAAAAH/+6mM=")</f>
        <v>#REF!</v>
      </c>
      <c r="CW64" t="e">
        <f>AND(#REF!,"AAAAAH/+6mQ=")</f>
        <v>#REF!</v>
      </c>
      <c r="CX64" t="e">
        <f>IF(#REF!,"AAAAAH/+6mU=",0)</f>
        <v>#REF!</v>
      </c>
      <c r="CY64" t="e">
        <f>AND(#REF!,"AAAAAH/+6mY=")</f>
        <v>#REF!</v>
      </c>
      <c r="CZ64" t="e">
        <f>AND(#REF!,"AAAAAH/+6mc=")</f>
        <v>#REF!</v>
      </c>
      <c r="DA64" t="e">
        <f>AND(#REF!,"AAAAAH/+6mg=")</f>
        <v>#REF!</v>
      </c>
      <c r="DB64" t="e">
        <f>AND(#REF!,"AAAAAH/+6mk=")</f>
        <v>#REF!</v>
      </c>
      <c r="DC64" t="e">
        <f>AND(#REF!,"AAAAAH/+6mo=")</f>
        <v>#REF!</v>
      </c>
      <c r="DD64" t="e">
        <f>AND(#REF!,"AAAAAH/+6ms=")</f>
        <v>#REF!</v>
      </c>
      <c r="DE64" t="e">
        <f>AND(#REF!,"AAAAAH/+6mw=")</f>
        <v>#REF!</v>
      </c>
      <c r="DF64" t="e">
        <f>AND(#REF!,"AAAAAH/+6m0=")</f>
        <v>#REF!</v>
      </c>
      <c r="DG64" t="e">
        <f>AND(#REF!,"AAAAAH/+6m4=")</f>
        <v>#REF!</v>
      </c>
      <c r="DH64" t="e">
        <f>AND(#REF!,"AAAAAH/+6m8=")</f>
        <v>#REF!</v>
      </c>
      <c r="DI64" t="e">
        <f>AND(#REF!,"AAAAAH/+6nA=")</f>
        <v>#REF!</v>
      </c>
      <c r="DJ64" t="e">
        <f>AND(#REF!,"AAAAAH/+6nE=")</f>
        <v>#REF!</v>
      </c>
      <c r="DK64" t="e">
        <f>AND(#REF!,"AAAAAH/+6nI=")</f>
        <v>#REF!</v>
      </c>
      <c r="DL64" t="e">
        <f>AND(#REF!,"AAAAAH/+6nM=")</f>
        <v>#REF!</v>
      </c>
      <c r="DM64" t="e">
        <f>AND(#REF!,"AAAAAH/+6nQ=")</f>
        <v>#REF!</v>
      </c>
      <c r="DN64" t="e">
        <f>AND(#REF!,"AAAAAH/+6nU=")</f>
        <v>#REF!</v>
      </c>
      <c r="DO64" t="e">
        <f>AND(#REF!,"AAAAAH/+6nY=")</f>
        <v>#REF!</v>
      </c>
      <c r="DP64" t="e">
        <f>AND(#REF!,"AAAAAH/+6nc=")</f>
        <v>#REF!</v>
      </c>
      <c r="DQ64" t="e">
        <f>AND(#REF!,"AAAAAH/+6ng=")</f>
        <v>#REF!</v>
      </c>
      <c r="DR64" t="e">
        <f>AND(#REF!,"AAAAAH/+6nk=")</f>
        <v>#REF!</v>
      </c>
      <c r="DS64" t="e">
        <f>AND(#REF!,"AAAAAH/+6no=")</f>
        <v>#REF!</v>
      </c>
      <c r="DT64" t="e">
        <f>AND(#REF!,"AAAAAH/+6ns=")</f>
        <v>#REF!</v>
      </c>
      <c r="DU64" t="e">
        <f>AND(#REF!,"AAAAAH/+6nw=")</f>
        <v>#REF!</v>
      </c>
      <c r="DV64" t="e">
        <f>IF(#REF!,"AAAAAH/+6n0=",0)</f>
        <v>#REF!</v>
      </c>
      <c r="DW64" t="e">
        <f>AND(#REF!,"AAAAAH/+6n4=")</f>
        <v>#REF!</v>
      </c>
      <c r="DX64" t="e">
        <f>AND(#REF!,"AAAAAH/+6n8=")</f>
        <v>#REF!</v>
      </c>
      <c r="DY64" t="e">
        <f>AND(#REF!,"AAAAAH/+6oA=")</f>
        <v>#REF!</v>
      </c>
      <c r="DZ64" t="e">
        <f>AND(#REF!,"AAAAAH/+6oE=")</f>
        <v>#REF!</v>
      </c>
      <c r="EA64" t="e">
        <f>AND(#REF!,"AAAAAH/+6oI=")</f>
        <v>#REF!</v>
      </c>
      <c r="EB64" t="e">
        <f>AND(#REF!,"AAAAAH/+6oM=")</f>
        <v>#REF!</v>
      </c>
      <c r="EC64" t="e">
        <f>AND(#REF!,"AAAAAH/+6oQ=")</f>
        <v>#REF!</v>
      </c>
      <c r="ED64" t="e">
        <f>AND(#REF!,"AAAAAH/+6oU=")</f>
        <v>#REF!</v>
      </c>
      <c r="EE64" t="e">
        <f>AND(#REF!,"AAAAAH/+6oY=")</f>
        <v>#REF!</v>
      </c>
      <c r="EF64" t="e">
        <f>AND(#REF!,"AAAAAH/+6oc=")</f>
        <v>#REF!</v>
      </c>
      <c r="EG64" t="e">
        <f>AND(#REF!,"AAAAAH/+6og=")</f>
        <v>#REF!</v>
      </c>
      <c r="EH64" t="e">
        <f>AND(#REF!,"AAAAAH/+6ok=")</f>
        <v>#REF!</v>
      </c>
      <c r="EI64" t="e">
        <f>AND(#REF!,"AAAAAH/+6oo=")</f>
        <v>#REF!</v>
      </c>
      <c r="EJ64" t="e">
        <f>AND(#REF!,"AAAAAH/+6os=")</f>
        <v>#REF!</v>
      </c>
      <c r="EK64" t="e">
        <f>AND(#REF!,"AAAAAH/+6ow=")</f>
        <v>#REF!</v>
      </c>
      <c r="EL64" t="e">
        <f>AND(#REF!,"AAAAAH/+6o0=")</f>
        <v>#REF!</v>
      </c>
      <c r="EM64" t="e">
        <f>AND(#REF!,"AAAAAH/+6o4=")</f>
        <v>#REF!</v>
      </c>
      <c r="EN64" t="e">
        <f>AND(#REF!,"AAAAAH/+6o8=")</f>
        <v>#REF!</v>
      </c>
      <c r="EO64" t="e">
        <f>AND(#REF!,"AAAAAH/+6pA=")</f>
        <v>#REF!</v>
      </c>
      <c r="EP64" t="e">
        <f>AND(#REF!,"AAAAAH/+6pE=")</f>
        <v>#REF!</v>
      </c>
      <c r="EQ64" t="e">
        <f>AND(#REF!,"AAAAAH/+6pI=")</f>
        <v>#REF!</v>
      </c>
      <c r="ER64" t="e">
        <f>AND(#REF!,"AAAAAH/+6pM=")</f>
        <v>#REF!</v>
      </c>
      <c r="ES64" t="e">
        <f>AND(#REF!,"AAAAAH/+6pQ=")</f>
        <v>#REF!</v>
      </c>
      <c r="ET64" t="e">
        <f>IF(#REF!,"AAAAAH/+6pU=",0)</f>
        <v>#REF!</v>
      </c>
      <c r="EU64" t="e">
        <f>AND(#REF!,"AAAAAH/+6pY=")</f>
        <v>#REF!</v>
      </c>
      <c r="EV64" t="e">
        <f>AND(#REF!,"AAAAAH/+6pc=")</f>
        <v>#REF!</v>
      </c>
      <c r="EW64" t="e">
        <f>AND(#REF!,"AAAAAH/+6pg=")</f>
        <v>#REF!</v>
      </c>
      <c r="EX64" t="e">
        <f>AND(#REF!,"AAAAAH/+6pk=")</f>
        <v>#REF!</v>
      </c>
      <c r="EY64" t="e">
        <f>AND(#REF!,"AAAAAH/+6po=")</f>
        <v>#REF!</v>
      </c>
      <c r="EZ64" t="e">
        <f>AND(#REF!,"AAAAAH/+6ps=")</f>
        <v>#REF!</v>
      </c>
      <c r="FA64" t="e">
        <f>AND(#REF!,"AAAAAH/+6pw=")</f>
        <v>#REF!</v>
      </c>
      <c r="FB64" t="e">
        <f>AND(#REF!,"AAAAAH/+6p0=")</f>
        <v>#REF!</v>
      </c>
      <c r="FC64" t="e">
        <f>AND(#REF!,"AAAAAH/+6p4=")</f>
        <v>#REF!</v>
      </c>
      <c r="FD64" t="e">
        <f>AND(#REF!,"AAAAAH/+6p8=")</f>
        <v>#REF!</v>
      </c>
      <c r="FE64" t="e">
        <f>AND(#REF!,"AAAAAH/+6qA=")</f>
        <v>#REF!</v>
      </c>
      <c r="FF64" t="e">
        <f>AND(#REF!,"AAAAAH/+6qE=")</f>
        <v>#REF!</v>
      </c>
      <c r="FG64" t="e">
        <f>AND(#REF!,"AAAAAH/+6qI=")</f>
        <v>#REF!</v>
      </c>
      <c r="FH64" t="e">
        <f>AND(#REF!,"AAAAAH/+6qM=")</f>
        <v>#REF!</v>
      </c>
      <c r="FI64" t="e">
        <f>AND(#REF!,"AAAAAH/+6qQ=")</f>
        <v>#REF!</v>
      </c>
      <c r="FJ64" t="e">
        <f>AND(#REF!,"AAAAAH/+6qU=")</f>
        <v>#REF!</v>
      </c>
      <c r="FK64" t="e">
        <f>AND(#REF!,"AAAAAH/+6qY=")</f>
        <v>#REF!</v>
      </c>
      <c r="FL64" t="e">
        <f>AND(#REF!,"AAAAAH/+6qc=")</f>
        <v>#REF!</v>
      </c>
      <c r="FM64" t="e">
        <f>AND(#REF!,"AAAAAH/+6qg=")</f>
        <v>#REF!</v>
      </c>
      <c r="FN64" t="e">
        <f>AND(#REF!,"AAAAAH/+6qk=")</f>
        <v>#REF!</v>
      </c>
      <c r="FO64" t="e">
        <f>AND(#REF!,"AAAAAH/+6qo=")</f>
        <v>#REF!</v>
      </c>
      <c r="FP64" t="e">
        <f>AND(#REF!,"AAAAAH/+6qs=")</f>
        <v>#REF!</v>
      </c>
      <c r="FQ64" t="e">
        <f>AND(#REF!,"AAAAAH/+6qw=")</f>
        <v>#REF!</v>
      </c>
      <c r="FR64" t="e">
        <f>IF(#REF!,"AAAAAH/+6q0=",0)</f>
        <v>#REF!</v>
      </c>
      <c r="FS64" t="e">
        <f>AND(#REF!,"AAAAAH/+6q4=")</f>
        <v>#REF!</v>
      </c>
      <c r="FT64" t="e">
        <f>AND(#REF!,"AAAAAH/+6q8=")</f>
        <v>#REF!</v>
      </c>
      <c r="FU64" t="e">
        <f>AND(#REF!,"AAAAAH/+6rA=")</f>
        <v>#REF!</v>
      </c>
      <c r="FV64" t="e">
        <f>AND(#REF!,"AAAAAH/+6rE=")</f>
        <v>#REF!</v>
      </c>
      <c r="FW64" t="e">
        <f>AND(#REF!,"AAAAAH/+6rI=")</f>
        <v>#REF!</v>
      </c>
      <c r="FX64" t="e">
        <f>AND(#REF!,"AAAAAH/+6rM=")</f>
        <v>#REF!</v>
      </c>
      <c r="FY64" t="e">
        <f>AND(#REF!,"AAAAAH/+6rQ=")</f>
        <v>#REF!</v>
      </c>
      <c r="FZ64" t="e">
        <f>AND(#REF!,"AAAAAH/+6rU=")</f>
        <v>#REF!</v>
      </c>
      <c r="GA64" t="e">
        <f>AND(#REF!,"AAAAAH/+6rY=")</f>
        <v>#REF!</v>
      </c>
      <c r="GB64" t="e">
        <f>AND(#REF!,"AAAAAH/+6rc=")</f>
        <v>#REF!</v>
      </c>
      <c r="GC64" t="e">
        <f>AND(#REF!,"AAAAAH/+6rg=")</f>
        <v>#REF!</v>
      </c>
      <c r="GD64" t="e">
        <f>AND(#REF!,"AAAAAH/+6rk=")</f>
        <v>#REF!</v>
      </c>
      <c r="GE64" t="e">
        <f>AND(#REF!,"AAAAAH/+6ro=")</f>
        <v>#REF!</v>
      </c>
      <c r="GF64" t="e">
        <f>AND(#REF!,"AAAAAH/+6rs=")</f>
        <v>#REF!</v>
      </c>
      <c r="GG64" t="e">
        <f>AND(#REF!,"AAAAAH/+6rw=")</f>
        <v>#REF!</v>
      </c>
      <c r="GH64" t="e">
        <f>AND(#REF!,"AAAAAH/+6r0=")</f>
        <v>#REF!</v>
      </c>
      <c r="GI64" t="e">
        <f>AND(#REF!,"AAAAAH/+6r4=")</f>
        <v>#REF!</v>
      </c>
      <c r="GJ64" t="e">
        <f>AND(#REF!,"AAAAAH/+6r8=")</f>
        <v>#REF!</v>
      </c>
      <c r="GK64" t="e">
        <f>AND(#REF!,"AAAAAH/+6sA=")</f>
        <v>#REF!</v>
      </c>
      <c r="GL64" t="e">
        <f>AND(#REF!,"AAAAAH/+6sE=")</f>
        <v>#REF!</v>
      </c>
      <c r="GM64" t="e">
        <f>AND(#REF!,"AAAAAH/+6sI=")</f>
        <v>#REF!</v>
      </c>
      <c r="GN64" t="e">
        <f>AND(#REF!,"AAAAAH/+6sM=")</f>
        <v>#REF!</v>
      </c>
      <c r="GO64" t="e">
        <f>AND(#REF!,"AAAAAH/+6sQ=")</f>
        <v>#REF!</v>
      </c>
      <c r="GP64" t="e">
        <f>IF(#REF!,"AAAAAH/+6sU=",0)</f>
        <v>#REF!</v>
      </c>
      <c r="GQ64" t="e">
        <f>AND(#REF!,"AAAAAH/+6sY=")</f>
        <v>#REF!</v>
      </c>
      <c r="GR64" t="e">
        <f>AND(#REF!,"AAAAAH/+6sc=")</f>
        <v>#REF!</v>
      </c>
      <c r="GS64" t="e">
        <f>AND(#REF!,"AAAAAH/+6sg=")</f>
        <v>#REF!</v>
      </c>
      <c r="GT64" t="e">
        <f>AND(#REF!,"AAAAAH/+6sk=")</f>
        <v>#REF!</v>
      </c>
      <c r="GU64" t="e">
        <f>AND(#REF!,"AAAAAH/+6so=")</f>
        <v>#REF!</v>
      </c>
      <c r="GV64" t="e">
        <f>AND(#REF!,"AAAAAH/+6ss=")</f>
        <v>#REF!</v>
      </c>
      <c r="GW64" t="e">
        <f>AND(#REF!,"AAAAAH/+6sw=")</f>
        <v>#REF!</v>
      </c>
      <c r="GX64" t="e">
        <f>AND(#REF!,"AAAAAH/+6s0=")</f>
        <v>#REF!</v>
      </c>
      <c r="GY64" t="e">
        <f>AND(#REF!,"AAAAAH/+6s4=")</f>
        <v>#REF!</v>
      </c>
      <c r="GZ64" t="e">
        <f>AND(#REF!,"AAAAAH/+6s8=")</f>
        <v>#REF!</v>
      </c>
      <c r="HA64" t="e">
        <f>AND(#REF!,"AAAAAH/+6tA=")</f>
        <v>#REF!</v>
      </c>
      <c r="HB64" t="e">
        <f>AND(#REF!,"AAAAAH/+6tE=")</f>
        <v>#REF!</v>
      </c>
      <c r="HC64" t="e">
        <f>AND(#REF!,"AAAAAH/+6tI=")</f>
        <v>#REF!</v>
      </c>
      <c r="HD64" t="e">
        <f>AND(#REF!,"AAAAAH/+6tM=")</f>
        <v>#REF!</v>
      </c>
      <c r="HE64" t="e">
        <f>AND(#REF!,"AAAAAH/+6tQ=")</f>
        <v>#REF!</v>
      </c>
      <c r="HF64" t="e">
        <f>AND(#REF!,"AAAAAH/+6tU=")</f>
        <v>#REF!</v>
      </c>
      <c r="HG64" t="e">
        <f>AND(#REF!,"AAAAAH/+6tY=")</f>
        <v>#REF!</v>
      </c>
      <c r="HH64" t="e">
        <f>AND(#REF!,"AAAAAH/+6tc=")</f>
        <v>#REF!</v>
      </c>
      <c r="HI64" t="e">
        <f>AND(#REF!,"AAAAAH/+6tg=")</f>
        <v>#REF!</v>
      </c>
      <c r="HJ64" t="e">
        <f>AND(#REF!,"AAAAAH/+6tk=")</f>
        <v>#REF!</v>
      </c>
      <c r="HK64" t="e">
        <f>AND(#REF!,"AAAAAH/+6to=")</f>
        <v>#REF!</v>
      </c>
      <c r="HL64" t="e">
        <f>AND(#REF!,"AAAAAH/+6ts=")</f>
        <v>#REF!</v>
      </c>
      <c r="HM64" t="e">
        <f>AND(#REF!,"AAAAAH/+6tw=")</f>
        <v>#REF!</v>
      </c>
      <c r="HN64" t="e">
        <f>IF(#REF!,"AAAAAH/+6t0=",0)</f>
        <v>#REF!</v>
      </c>
      <c r="HO64" t="e">
        <f>AND(#REF!,"AAAAAH/+6t4=")</f>
        <v>#REF!</v>
      </c>
      <c r="HP64" t="e">
        <f>AND(#REF!,"AAAAAH/+6t8=")</f>
        <v>#REF!</v>
      </c>
      <c r="HQ64" t="e">
        <f>AND(#REF!,"AAAAAH/+6uA=")</f>
        <v>#REF!</v>
      </c>
      <c r="HR64" t="e">
        <f>AND(#REF!,"AAAAAH/+6uE=")</f>
        <v>#REF!</v>
      </c>
      <c r="HS64" t="e">
        <f>AND(#REF!,"AAAAAH/+6uI=")</f>
        <v>#REF!</v>
      </c>
      <c r="HT64" t="e">
        <f>AND(#REF!,"AAAAAH/+6uM=")</f>
        <v>#REF!</v>
      </c>
      <c r="HU64" t="e">
        <f>AND(#REF!,"AAAAAH/+6uQ=")</f>
        <v>#REF!</v>
      </c>
      <c r="HV64" t="e">
        <f>AND(#REF!,"AAAAAH/+6uU=")</f>
        <v>#REF!</v>
      </c>
      <c r="HW64" t="e">
        <f>AND(#REF!,"AAAAAH/+6uY=")</f>
        <v>#REF!</v>
      </c>
      <c r="HX64" t="e">
        <f>AND(#REF!,"AAAAAH/+6uc=")</f>
        <v>#REF!</v>
      </c>
      <c r="HY64" t="e">
        <f>AND(#REF!,"AAAAAH/+6ug=")</f>
        <v>#REF!</v>
      </c>
      <c r="HZ64" t="e">
        <f>AND(#REF!,"AAAAAH/+6uk=")</f>
        <v>#REF!</v>
      </c>
      <c r="IA64" t="e">
        <f>AND(#REF!,"AAAAAH/+6uo=")</f>
        <v>#REF!</v>
      </c>
      <c r="IB64" t="e">
        <f>AND(#REF!,"AAAAAH/+6us=")</f>
        <v>#REF!</v>
      </c>
      <c r="IC64" t="e">
        <f>AND(#REF!,"AAAAAH/+6uw=")</f>
        <v>#REF!</v>
      </c>
      <c r="ID64" t="e">
        <f>AND(#REF!,"AAAAAH/+6u0=")</f>
        <v>#REF!</v>
      </c>
      <c r="IE64" t="e">
        <f>AND(#REF!,"AAAAAH/+6u4=")</f>
        <v>#REF!</v>
      </c>
      <c r="IF64" t="e">
        <f>AND(#REF!,"AAAAAH/+6u8=")</f>
        <v>#REF!</v>
      </c>
      <c r="IG64" t="e">
        <f>AND(#REF!,"AAAAAH/+6vA=")</f>
        <v>#REF!</v>
      </c>
      <c r="IH64" t="e">
        <f>AND(#REF!,"AAAAAH/+6vE=")</f>
        <v>#REF!</v>
      </c>
      <c r="II64" t="e">
        <f>AND(#REF!,"AAAAAH/+6vI=")</f>
        <v>#REF!</v>
      </c>
      <c r="IJ64" t="e">
        <f>AND(#REF!,"AAAAAH/+6vM=")</f>
        <v>#REF!</v>
      </c>
      <c r="IK64" t="e">
        <f>AND(#REF!,"AAAAAH/+6vQ=")</f>
        <v>#REF!</v>
      </c>
      <c r="IL64" t="e">
        <f>IF(#REF!,"AAAAAH/+6vU=",0)</f>
        <v>#REF!</v>
      </c>
      <c r="IM64" t="e">
        <f>AND(#REF!,"AAAAAH/+6vY=")</f>
        <v>#REF!</v>
      </c>
      <c r="IN64" t="e">
        <f>AND(#REF!,"AAAAAH/+6vc=")</f>
        <v>#REF!</v>
      </c>
      <c r="IO64" t="e">
        <f>AND(#REF!,"AAAAAH/+6vg=")</f>
        <v>#REF!</v>
      </c>
      <c r="IP64" t="e">
        <f>AND(#REF!,"AAAAAH/+6vk=")</f>
        <v>#REF!</v>
      </c>
      <c r="IQ64" t="e">
        <f>AND(#REF!,"AAAAAH/+6vo=")</f>
        <v>#REF!</v>
      </c>
      <c r="IR64" t="e">
        <f>AND(#REF!,"AAAAAH/+6vs=")</f>
        <v>#REF!</v>
      </c>
      <c r="IS64" t="e">
        <f>AND(#REF!,"AAAAAH/+6vw=")</f>
        <v>#REF!</v>
      </c>
      <c r="IT64" t="e">
        <f>AND(#REF!,"AAAAAH/+6v0=")</f>
        <v>#REF!</v>
      </c>
      <c r="IU64" t="e">
        <f>AND(#REF!,"AAAAAH/+6v4=")</f>
        <v>#REF!</v>
      </c>
      <c r="IV64" t="e">
        <f>AND(#REF!,"AAAAAH/+6v8=")</f>
        <v>#REF!</v>
      </c>
    </row>
    <row r="65" spans="1:256" x14ac:dyDescent="0.15">
      <c r="A65" t="e">
        <f>AND(#REF!,"AAAAAH+5/gA=")</f>
        <v>#REF!</v>
      </c>
      <c r="B65" t="e">
        <f>AND(#REF!,"AAAAAH+5/gE=")</f>
        <v>#REF!</v>
      </c>
      <c r="C65" t="e">
        <f>AND(#REF!,"AAAAAH+5/gI=")</f>
        <v>#REF!</v>
      </c>
      <c r="D65" t="e">
        <f>AND(#REF!,"AAAAAH+5/gM=")</f>
        <v>#REF!</v>
      </c>
      <c r="E65" t="e">
        <f>AND(#REF!,"AAAAAH+5/gQ=")</f>
        <v>#REF!</v>
      </c>
      <c r="F65" t="e">
        <f>AND(#REF!,"AAAAAH+5/gU=")</f>
        <v>#REF!</v>
      </c>
      <c r="G65" t="e">
        <f>AND(#REF!,"AAAAAH+5/gY=")</f>
        <v>#REF!</v>
      </c>
      <c r="H65" t="e">
        <f>AND(#REF!,"AAAAAH+5/gc=")</f>
        <v>#REF!</v>
      </c>
      <c r="I65" t="e">
        <f>AND(#REF!,"AAAAAH+5/gg=")</f>
        <v>#REF!</v>
      </c>
      <c r="J65" t="e">
        <f>AND(#REF!,"AAAAAH+5/gk=")</f>
        <v>#REF!</v>
      </c>
      <c r="K65" t="e">
        <f>AND(#REF!,"AAAAAH+5/go=")</f>
        <v>#REF!</v>
      </c>
      <c r="L65" t="e">
        <f>AND(#REF!,"AAAAAH+5/gs=")</f>
        <v>#REF!</v>
      </c>
      <c r="M65" t="e">
        <f>AND(#REF!,"AAAAAH+5/gw=")</f>
        <v>#REF!</v>
      </c>
      <c r="N65" t="e">
        <f>IF(#REF!,"AAAAAH+5/g0=",0)</f>
        <v>#REF!</v>
      </c>
      <c r="O65" t="e">
        <f>AND(#REF!,"AAAAAH+5/g4=")</f>
        <v>#REF!</v>
      </c>
      <c r="P65" t="e">
        <f>AND(#REF!,"AAAAAH+5/g8=")</f>
        <v>#REF!</v>
      </c>
      <c r="Q65" t="e">
        <f>AND(#REF!,"AAAAAH+5/hA=")</f>
        <v>#REF!</v>
      </c>
      <c r="R65" t="e">
        <f>AND(#REF!,"AAAAAH+5/hE=")</f>
        <v>#REF!</v>
      </c>
      <c r="S65" t="e">
        <f>AND(#REF!,"AAAAAH+5/hI=")</f>
        <v>#REF!</v>
      </c>
      <c r="T65" t="e">
        <f>AND(#REF!,"AAAAAH+5/hM=")</f>
        <v>#REF!</v>
      </c>
      <c r="U65" t="e">
        <f>AND(#REF!,"AAAAAH+5/hQ=")</f>
        <v>#REF!</v>
      </c>
      <c r="V65" t="e">
        <f>AND(#REF!,"AAAAAH+5/hU=")</f>
        <v>#REF!</v>
      </c>
      <c r="W65" t="e">
        <f>AND(#REF!,"AAAAAH+5/hY=")</f>
        <v>#REF!</v>
      </c>
      <c r="X65" t="e">
        <f>AND(#REF!,"AAAAAH+5/hc=")</f>
        <v>#REF!</v>
      </c>
      <c r="Y65" t="e">
        <f>AND(#REF!,"AAAAAH+5/hg=")</f>
        <v>#REF!</v>
      </c>
      <c r="Z65" t="e">
        <f>AND(#REF!,"AAAAAH+5/hk=")</f>
        <v>#REF!</v>
      </c>
      <c r="AA65" t="e">
        <f>AND(#REF!,"AAAAAH+5/ho=")</f>
        <v>#REF!</v>
      </c>
      <c r="AB65" t="e">
        <f>AND(#REF!,"AAAAAH+5/hs=")</f>
        <v>#REF!</v>
      </c>
      <c r="AC65" t="e">
        <f>AND(#REF!,"AAAAAH+5/hw=")</f>
        <v>#REF!</v>
      </c>
      <c r="AD65" t="e">
        <f>AND(#REF!,"AAAAAH+5/h0=")</f>
        <v>#REF!</v>
      </c>
      <c r="AE65" t="e">
        <f>AND(#REF!,"AAAAAH+5/h4=")</f>
        <v>#REF!</v>
      </c>
      <c r="AF65" t="e">
        <f>AND(#REF!,"AAAAAH+5/h8=")</f>
        <v>#REF!</v>
      </c>
      <c r="AG65" t="e">
        <f>AND(#REF!,"AAAAAH+5/iA=")</f>
        <v>#REF!</v>
      </c>
      <c r="AH65" t="e">
        <f>AND(#REF!,"AAAAAH+5/iE=")</f>
        <v>#REF!</v>
      </c>
      <c r="AI65" t="e">
        <f>AND(#REF!,"AAAAAH+5/iI=")</f>
        <v>#REF!</v>
      </c>
      <c r="AJ65" t="e">
        <f>AND(#REF!,"AAAAAH+5/iM=")</f>
        <v>#REF!</v>
      </c>
      <c r="AK65" t="e">
        <f>AND(#REF!,"AAAAAH+5/iQ=")</f>
        <v>#REF!</v>
      </c>
      <c r="AL65" t="e">
        <f>IF(#REF!,"AAAAAH+5/iU=",0)</f>
        <v>#REF!</v>
      </c>
      <c r="AM65" t="e">
        <f>IF(#REF!,"AAAAAH+5/iY=",0)</f>
        <v>#REF!</v>
      </c>
      <c r="AN65" t="e">
        <f>IF(#REF!,"AAAAAH+5/ic=",0)</f>
        <v>#REF!</v>
      </c>
      <c r="AO65" t="e">
        <f>IF(#REF!,"AAAAAH+5/ig=",0)</f>
        <v>#REF!</v>
      </c>
      <c r="AP65" t="e">
        <f>IF(#REF!,"AAAAAH+5/ik=",0)</f>
        <v>#REF!</v>
      </c>
      <c r="AQ65" t="e">
        <f>IF(#REF!,"AAAAAH+5/io=",0)</f>
        <v>#REF!</v>
      </c>
      <c r="AR65" t="e">
        <f>IF(#REF!,"AAAAAH+5/is=",0)</f>
        <v>#REF!</v>
      </c>
      <c r="AS65" t="e">
        <f>IF(#REF!,"AAAAAH+5/iw=",0)</f>
        <v>#REF!</v>
      </c>
      <c r="AT65" t="e">
        <f>IF(#REF!,"AAAAAH+5/i0=",0)</f>
        <v>#REF!</v>
      </c>
      <c r="AU65" t="e">
        <f>IF(#REF!,"AAAAAH+5/i4=",0)</f>
        <v>#REF!</v>
      </c>
      <c r="AV65" t="e">
        <f>IF(#REF!,"AAAAAH+5/i8=",0)</f>
        <v>#REF!</v>
      </c>
      <c r="AW65" t="e">
        <f>IF(#REF!,"AAAAAH+5/jA=",0)</f>
        <v>#REF!</v>
      </c>
      <c r="AX65" t="e">
        <f>IF(#REF!,"AAAAAH+5/jE=",0)</f>
        <v>#REF!</v>
      </c>
      <c r="AY65" t="e">
        <f>IF(#REF!,"AAAAAH+5/jI=",0)</f>
        <v>#REF!</v>
      </c>
      <c r="AZ65" t="e">
        <f>IF(#REF!,"AAAAAH+5/jM=",0)</f>
        <v>#REF!</v>
      </c>
      <c r="BA65" t="e">
        <f>IF(#REF!,"AAAAAH+5/jQ=",0)</f>
        <v>#REF!</v>
      </c>
      <c r="BB65" t="e">
        <f>IF(#REF!,"AAAAAH+5/jU=",0)</f>
        <v>#REF!</v>
      </c>
      <c r="BC65" t="e">
        <f>IF(#REF!,"AAAAAH+5/jY=",0)</f>
        <v>#REF!</v>
      </c>
      <c r="BD65" t="e">
        <f>IF(#REF!,"AAAAAH+5/jc=",0)</f>
        <v>#REF!</v>
      </c>
      <c r="BE65" t="e">
        <f>IF(#REF!,"AAAAAH+5/jg=",0)</f>
        <v>#REF!</v>
      </c>
      <c r="BF65" t="e">
        <f>IF(#REF!,"AAAAAH+5/jk=",0)</f>
        <v>#REF!</v>
      </c>
      <c r="BG65" t="e">
        <f>IF(#REF!,"AAAAAH+5/jo=",0)</f>
        <v>#REF!</v>
      </c>
      <c r="BH65" t="e">
        <f>IF(#REF!,"AAAAAH+5/js=",0)</f>
        <v>#REF!</v>
      </c>
      <c r="BI65" t="e">
        <f>IF(#REF!,"AAAAAH+5/jw=",0)</f>
        <v>#REF!</v>
      </c>
      <c r="BJ65" t="e">
        <f>IF(#REF!,"AAAAAH+5/j0=",0)</f>
        <v>#REF!</v>
      </c>
      <c r="BK65" t="e">
        <f>IF(#REF!,"AAAAAH+5/j4=",0)</f>
        <v>#REF!</v>
      </c>
      <c r="BL65" t="e">
        <f>AND(#REF!,"AAAAAH+5/j8=")</f>
        <v>#REF!</v>
      </c>
      <c r="BM65" t="e">
        <f>AND(#REF!,"AAAAAH+5/kA=")</f>
        <v>#REF!</v>
      </c>
      <c r="BN65" t="e">
        <f>AND(#REF!,"AAAAAH+5/kE=")</f>
        <v>#REF!</v>
      </c>
      <c r="BO65" t="e">
        <f>AND(#REF!,"AAAAAH+5/kI=")</f>
        <v>#REF!</v>
      </c>
      <c r="BP65" t="e">
        <f>AND(#REF!,"AAAAAH+5/kM=")</f>
        <v>#REF!</v>
      </c>
      <c r="BQ65" t="e">
        <f>AND(#REF!,"AAAAAH+5/kQ=")</f>
        <v>#REF!</v>
      </c>
      <c r="BR65" t="e">
        <f>AND(#REF!,"AAAAAH+5/kU=")</f>
        <v>#REF!</v>
      </c>
      <c r="BS65" t="e">
        <f>AND(#REF!,"AAAAAH+5/kY=")</f>
        <v>#REF!</v>
      </c>
      <c r="BT65" t="e">
        <f>AND(#REF!,"AAAAAH+5/kc=")</f>
        <v>#REF!</v>
      </c>
      <c r="BU65" t="e">
        <f>AND(#REF!,"AAAAAH+5/kg=")</f>
        <v>#REF!</v>
      </c>
      <c r="BV65" t="e">
        <f>AND(#REF!,"AAAAAH+5/kk=")</f>
        <v>#REF!</v>
      </c>
      <c r="BW65" t="e">
        <f>AND(#REF!,"AAAAAH+5/ko=")</f>
        <v>#REF!</v>
      </c>
      <c r="BX65" t="e">
        <f>AND(#REF!,"AAAAAH+5/ks=")</f>
        <v>#REF!</v>
      </c>
      <c r="BY65" t="e">
        <f>AND(#REF!,"AAAAAH+5/kw=")</f>
        <v>#REF!</v>
      </c>
      <c r="BZ65" t="e">
        <f>IF(#REF!,"AAAAAH+5/k0=",0)</f>
        <v>#REF!</v>
      </c>
      <c r="CA65" t="e">
        <f>AND(#REF!,"AAAAAH+5/k4=")</f>
        <v>#REF!</v>
      </c>
      <c r="CB65" t="e">
        <f>AND(#REF!,"AAAAAH+5/k8=")</f>
        <v>#REF!</v>
      </c>
      <c r="CC65" t="e">
        <f>AND(#REF!,"AAAAAH+5/lA=")</f>
        <v>#REF!</v>
      </c>
      <c r="CD65" t="e">
        <f>AND(#REF!,"AAAAAH+5/lE=")</f>
        <v>#REF!</v>
      </c>
      <c r="CE65" t="e">
        <f>AND(#REF!,"AAAAAH+5/lI=")</f>
        <v>#REF!</v>
      </c>
      <c r="CF65" t="e">
        <f>AND(#REF!,"AAAAAH+5/lM=")</f>
        <v>#REF!</v>
      </c>
      <c r="CG65" t="e">
        <f>AND(#REF!,"AAAAAH+5/lQ=")</f>
        <v>#REF!</v>
      </c>
      <c r="CH65" t="e">
        <f>AND(#REF!,"AAAAAH+5/lU=")</f>
        <v>#REF!</v>
      </c>
      <c r="CI65" t="e">
        <f>AND(#REF!,"AAAAAH+5/lY=")</f>
        <v>#REF!</v>
      </c>
      <c r="CJ65" t="e">
        <f>AND(#REF!,"AAAAAH+5/lc=")</f>
        <v>#REF!</v>
      </c>
      <c r="CK65" t="e">
        <f>AND(#REF!,"AAAAAH+5/lg=")</f>
        <v>#REF!</v>
      </c>
      <c r="CL65" t="e">
        <f>AND(#REF!,"AAAAAH+5/lk=")</f>
        <v>#REF!</v>
      </c>
      <c r="CM65" t="e">
        <f>AND(#REF!,"AAAAAH+5/lo=")</f>
        <v>#REF!</v>
      </c>
      <c r="CN65" t="e">
        <f>AND(#REF!,"AAAAAH+5/ls=")</f>
        <v>#REF!</v>
      </c>
      <c r="CO65" t="e">
        <f>IF(#REF!,"AAAAAH+5/lw=",0)</f>
        <v>#REF!</v>
      </c>
      <c r="CP65" t="e">
        <f>AND(#REF!,"AAAAAH+5/l0=")</f>
        <v>#REF!</v>
      </c>
      <c r="CQ65" t="e">
        <f>AND(#REF!,"AAAAAH+5/l4=")</f>
        <v>#REF!</v>
      </c>
      <c r="CR65" t="e">
        <f>AND(#REF!,"AAAAAH+5/l8=")</f>
        <v>#REF!</v>
      </c>
      <c r="CS65" t="e">
        <f>AND(#REF!,"AAAAAH+5/mA=")</f>
        <v>#REF!</v>
      </c>
      <c r="CT65" t="e">
        <f>AND(#REF!,"AAAAAH+5/mE=")</f>
        <v>#REF!</v>
      </c>
      <c r="CU65" t="e">
        <f>AND(#REF!,"AAAAAH+5/mI=")</f>
        <v>#REF!</v>
      </c>
      <c r="CV65" t="e">
        <f>AND(#REF!,"AAAAAH+5/mM=")</f>
        <v>#REF!</v>
      </c>
      <c r="CW65" t="e">
        <f>AND(#REF!,"AAAAAH+5/mQ=")</f>
        <v>#REF!</v>
      </c>
      <c r="CX65" t="e">
        <f>AND(#REF!,"AAAAAH+5/mU=")</f>
        <v>#REF!</v>
      </c>
      <c r="CY65" t="e">
        <f>AND(#REF!,"AAAAAH+5/mY=")</f>
        <v>#REF!</v>
      </c>
      <c r="CZ65" t="e">
        <f>AND(#REF!,"AAAAAH+5/mc=")</f>
        <v>#REF!</v>
      </c>
      <c r="DA65" t="e">
        <f>AND(#REF!,"AAAAAH+5/mg=")</f>
        <v>#REF!</v>
      </c>
      <c r="DB65" t="e">
        <f>AND(#REF!,"AAAAAH+5/mk=")</f>
        <v>#REF!</v>
      </c>
      <c r="DC65" t="e">
        <f>AND(#REF!,"AAAAAH+5/mo=")</f>
        <v>#REF!</v>
      </c>
      <c r="DD65" t="e">
        <f>IF(#REF!,"AAAAAH+5/ms=",0)</f>
        <v>#REF!</v>
      </c>
      <c r="DE65" t="e">
        <f>AND(#REF!,"AAAAAH+5/mw=")</f>
        <v>#REF!</v>
      </c>
      <c r="DF65" t="e">
        <f>AND(#REF!,"AAAAAH+5/m0=")</f>
        <v>#REF!</v>
      </c>
      <c r="DG65" t="e">
        <f>AND(#REF!,"AAAAAH+5/m4=")</f>
        <v>#REF!</v>
      </c>
      <c r="DH65" t="e">
        <f>AND(#REF!,"AAAAAH+5/m8=")</f>
        <v>#REF!</v>
      </c>
      <c r="DI65" t="e">
        <f>AND(#REF!,"AAAAAH+5/nA=")</f>
        <v>#REF!</v>
      </c>
      <c r="DJ65" t="e">
        <f>AND(#REF!,"AAAAAH+5/nE=")</f>
        <v>#REF!</v>
      </c>
      <c r="DK65" t="e">
        <f>AND(#REF!,"AAAAAH+5/nI=")</f>
        <v>#REF!</v>
      </c>
      <c r="DL65" t="e">
        <f>AND(#REF!,"AAAAAH+5/nM=")</f>
        <v>#REF!</v>
      </c>
      <c r="DM65" t="e">
        <f>AND(#REF!,"AAAAAH+5/nQ=")</f>
        <v>#REF!</v>
      </c>
      <c r="DN65" t="e">
        <f>AND(#REF!,"AAAAAH+5/nU=")</f>
        <v>#REF!</v>
      </c>
      <c r="DO65" t="e">
        <f>AND(#REF!,"AAAAAH+5/nY=")</f>
        <v>#REF!</v>
      </c>
      <c r="DP65" t="e">
        <f>AND(#REF!,"AAAAAH+5/nc=")</f>
        <v>#REF!</v>
      </c>
      <c r="DQ65" t="e">
        <f>AND(#REF!,"AAAAAH+5/ng=")</f>
        <v>#REF!</v>
      </c>
      <c r="DR65" t="e">
        <f>AND(#REF!,"AAAAAH+5/nk=")</f>
        <v>#REF!</v>
      </c>
      <c r="DS65" t="e">
        <f>IF(#REF!,"AAAAAH+5/no=",0)</f>
        <v>#REF!</v>
      </c>
      <c r="DT65" t="e">
        <f>AND(#REF!,"AAAAAH+5/ns=")</f>
        <v>#REF!</v>
      </c>
      <c r="DU65" t="e">
        <f>AND(#REF!,"AAAAAH+5/nw=")</f>
        <v>#REF!</v>
      </c>
      <c r="DV65" t="e">
        <f>AND(#REF!,"AAAAAH+5/n0=")</f>
        <v>#REF!</v>
      </c>
      <c r="DW65" t="e">
        <f>AND(#REF!,"AAAAAH+5/n4=")</f>
        <v>#REF!</v>
      </c>
      <c r="DX65" t="e">
        <f>AND(#REF!,"AAAAAH+5/n8=")</f>
        <v>#REF!</v>
      </c>
      <c r="DY65" t="e">
        <f>AND(#REF!,"AAAAAH+5/oA=")</f>
        <v>#REF!</v>
      </c>
      <c r="DZ65" t="e">
        <f>AND(#REF!,"AAAAAH+5/oE=")</f>
        <v>#REF!</v>
      </c>
      <c r="EA65" t="e">
        <f>AND(#REF!,"AAAAAH+5/oI=")</f>
        <v>#REF!</v>
      </c>
      <c r="EB65" t="e">
        <f>AND(#REF!,"AAAAAH+5/oM=")</f>
        <v>#REF!</v>
      </c>
      <c r="EC65" t="e">
        <f>AND(#REF!,"AAAAAH+5/oQ=")</f>
        <v>#REF!</v>
      </c>
      <c r="ED65" t="e">
        <f>AND(#REF!,"AAAAAH+5/oU=")</f>
        <v>#REF!</v>
      </c>
      <c r="EE65" t="e">
        <f>AND(#REF!,"AAAAAH+5/oY=")</f>
        <v>#REF!</v>
      </c>
      <c r="EF65" t="e">
        <f>AND(#REF!,"AAAAAH+5/oc=")</f>
        <v>#REF!</v>
      </c>
      <c r="EG65" t="e">
        <f>AND(#REF!,"AAAAAH+5/og=")</f>
        <v>#REF!</v>
      </c>
      <c r="EH65" t="e">
        <f>IF(#REF!,"AAAAAH+5/ok=",0)</f>
        <v>#REF!</v>
      </c>
      <c r="EI65" t="e">
        <f>AND(#REF!,"AAAAAH+5/oo=")</f>
        <v>#REF!</v>
      </c>
      <c r="EJ65" t="e">
        <f>AND(#REF!,"AAAAAH+5/os=")</f>
        <v>#REF!</v>
      </c>
      <c r="EK65" t="e">
        <f>AND(#REF!,"AAAAAH+5/ow=")</f>
        <v>#REF!</v>
      </c>
      <c r="EL65" t="e">
        <f>AND(#REF!,"AAAAAH+5/o0=")</f>
        <v>#REF!</v>
      </c>
      <c r="EM65" t="e">
        <f>AND(#REF!,"AAAAAH+5/o4=")</f>
        <v>#REF!</v>
      </c>
      <c r="EN65" t="e">
        <f>AND(#REF!,"AAAAAH+5/o8=")</f>
        <v>#REF!</v>
      </c>
      <c r="EO65" t="e">
        <f>AND(#REF!,"AAAAAH+5/pA=")</f>
        <v>#REF!</v>
      </c>
      <c r="EP65" t="e">
        <f>AND(#REF!,"AAAAAH+5/pE=")</f>
        <v>#REF!</v>
      </c>
      <c r="EQ65" t="e">
        <f>AND(#REF!,"AAAAAH+5/pI=")</f>
        <v>#REF!</v>
      </c>
      <c r="ER65" t="e">
        <f>AND(#REF!,"AAAAAH+5/pM=")</f>
        <v>#REF!</v>
      </c>
      <c r="ES65" t="e">
        <f>AND(#REF!,"AAAAAH+5/pQ=")</f>
        <v>#REF!</v>
      </c>
      <c r="ET65" t="e">
        <f>AND(#REF!,"AAAAAH+5/pU=")</f>
        <v>#REF!</v>
      </c>
      <c r="EU65" t="e">
        <f>AND(#REF!,"AAAAAH+5/pY=")</f>
        <v>#REF!</v>
      </c>
      <c r="EV65" t="e">
        <f>AND(#REF!,"AAAAAH+5/pc=")</f>
        <v>#REF!</v>
      </c>
      <c r="EW65" t="e">
        <f>IF(#REF!,"AAAAAH+5/pg=",0)</f>
        <v>#REF!</v>
      </c>
      <c r="EX65" t="e">
        <f>AND(#REF!,"AAAAAH+5/pk=")</f>
        <v>#REF!</v>
      </c>
      <c r="EY65" t="e">
        <f>AND(#REF!,"AAAAAH+5/po=")</f>
        <v>#REF!</v>
      </c>
      <c r="EZ65" t="e">
        <f>AND(#REF!,"AAAAAH+5/ps=")</f>
        <v>#REF!</v>
      </c>
      <c r="FA65" t="e">
        <f>AND(#REF!,"AAAAAH+5/pw=")</f>
        <v>#REF!</v>
      </c>
      <c r="FB65" t="e">
        <f>AND(#REF!,"AAAAAH+5/p0=")</f>
        <v>#REF!</v>
      </c>
      <c r="FC65" t="e">
        <f>AND(#REF!,"AAAAAH+5/p4=")</f>
        <v>#REF!</v>
      </c>
      <c r="FD65" t="e">
        <f>AND(#REF!,"AAAAAH+5/p8=")</f>
        <v>#REF!</v>
      </c>
      <c r="FE65" t="e">
        <f>AND(#REF!,"AAAAAH+5/qA=")</f>
        <v>#REF!</v>
      </c>
      <c r="FF65" t="e">
        <f>AND(#REF!,"AAAAAH+5/qE=")</f>
        <v>#REF!</v>
      </c>
      <c r="FG65" t="e">
        <f>AND(#REF!,"AAAAAH+5/qI=")</f>
        <v>#REF!</v>
      </c>
      <c r="FH65" t="e">
        <f>AND(#REF!,"AAAAAH+5/qM=")</f>
        <v>#REF!</v>
      </c>
      <c r="FI65" t="e">
        <f>AND(#REF!,"AAAAAH+5/qQ=")</f>
        <v>#REF!</v>
      </c>
      <c r="FJ65" t="e">
        <f>AND(#REF!,"AAAAAH+5/qU=")</f>
        <v>#REF!</v>
      </c>
      <c r="FK65" t="e">
        <f>AND(#REF!,"AAAAAH+5/qY=")</f>
        <v>#REF!</v>
      </c>
      <c r="FL65" t="e">
        <f>IF(#REF!,"AAAAAH+5/qc=",0)</f>
        <v>#REF!</v>
      </c>
      <c r="FM65" t="e">
        <f>AND(#REF!,"AAAAAH+5/qg=")</f>
        <v>#REF!</v>
      </c>
      <c r="FN65" t="e">
        <f>AND(#REF!,"AAAAAH+5/qk=")</f>
        <v>#REF!</v>
      </c>
      <c r="FO65" t="e">
        <f>AND(#REF!,"AAAAAH+5/qo=")</f>
        <v>#REF!</v>
      </c>
      <c r="FP65" t="e">
        <f>AND(#REF!,"AAAAAH+5/qs=")</f>
        <v>#REF!</v>
      </c>
      <c r="FQ65" t="e">
        <f>AND(#REF!,"AAAAAH+5/qw=")</f>
        <v>#REF!</v>
      </c>
      <c r="FR65" t="e">
        <f>AND(#REF!,"AAAAAH+5/q0=")</f>
        <v>#REF!</v>
      </c>
      <c r="FS65" t="e">
        <f>AND(#REF!,"AAAAAH+5/q4=")</f>
        <v>#REF!</v>
      </c>
      <c r="FT65" t="e">
        <f>AND(#REF!,"AAAAAH+5/q8=")</f>
        <v>#REF!</v>
      </c>
      <c r="FU65" t="e">
        <f>AND(#REF!,"AAAAAH+5/rA=")</f>
        <v>#REF!</v>
      </c>
      <c r="FV65" t="e">
        <f>AND(#REF!,"AAAAAH+5/rE=")</f>
        <v>#REF!</v>
      </c>
      <c r="FW65" t="e">
        <f>AND(#REF!,"AAAAAH+5/rI=")</f>
        <v>#REF!</v>
      </c>
      <c r="FX65" t="e">
        <f>AND(#REF!,"AAAAAH+5/rM=")</f>
        <v>#REF!</v>
      </c>
      <c r="FY65" t="e">
        <f>AND(#REF!,"AAAAAH+5/rQ=")</f>
        <v>#REF!</v>
      </c>
      <c r="FZ65" t="e">
        <f>AND(#REF!,"AAAAAH+5/rU=")</f>
        <v>#REF!</v>
      </c>
      <c r="GA65" t="e">
        <f>IF(#REF!,"AAAAAH+5/rY=",0)</f>
        <v>#REF!</v>
      </c>
      <c r="GB65" t="e">
        <f>AND(#REF!,"AAAAAH+5/rc=")</f>
        <v>#REF!</v>
      </c>
      <c r="GC65" t="e">
        <f>AND(#REF!,"AAAAAH+5/rg=")</f>
        <v>#REF!</v>
      </c>
      <c r="GD65" t="e">
        <f>AND(#REF!,"AAAAAH+5/rk=")</f>
        <v>#REF!</v>
      </c>
      <c r="GE65" t="e">
        <f>AND(#REF!,"AAAAAH+5/ro=")</f>
        <v>#REF!</v>
      </c>
      <c r="GF65" t="e">
        <f>AND(#REF!,"AAAAAH+5/rs=")</f>
        <v>#REF!</v>
      </c>
      <c r="GG65" t="e">
        <f>AND(#REF!,"AAAAAH+5/rw=")</f>
        <v>#REF!</v>
      </c>
      <c r="GH65" t="e">
        <f>AND(#REF!,"AAAAAH+5/r0=")</f>
        <v>#REF!</v>
      </c>
      <c r="GI65" t="e">
        <f>AND(#REF!,"AAAAAH+5/r4=")</f>
        <v>#REF!</v>
      </c>
      <c r="GJ65" t="e">
        <f>AND(#REF!,"AAAAAH+5/r8=")</f>
        <v>#REF!</v>
      </c>
      <c r="GK65" t="e">
        <f>AND(#REF!,"AAAAAH+5/sA=")</f>
        <v>#REF!</v>
      </c>
      <c r="GL65" t="e">
        <f>AND(#REF!,"AAAAAH+5/sE=")</f>
        <v>#REF!</v>
      </c>
      <c r="GM65" t="e">
        <f>AND(#REF!,"AAAAAH+5/sI=")</f>
        <v>#REF!</v>
      </c>
      <c r="GN65" t="e">
        <f>AND(#REF!,"AAAAAH+5/sM=")</f>
        <v>#REF!</v>
      </c>
      <c r="GO65" t="e">
        <f>AND(#REF!,"AAAAAH+5/sQ=")</f>
        <v>#REF!</v>
      </c>
      <c r="GP65" t="e">
        <f>IF(#REF!,"AAAAAH+5/sU=",0)</f>
        <v>#REF!</v>
      </c>
      <c r="GQ65" t="e">
        <f>AND(#REF!,"AAAAAH+5/sY=")</f>
        <v>#REF!</v>
      </c>
      <c r="GR65" t="e">
        <f>AND(#REF!,"AAAAAH+5/sc=")</f>
        <v>#REF!</v>
      </c>
      <c r="GS65" t="e">
        <f>AND(#REF!,"AAAAAH+5/sg=")</f>
        <v>#REF!</v>
      </c>
      <c r="GT65" t="e">
        <f>AND(#REF!,"AAAAAH+5/sk=")</f>
        <v>#REF!</v>
      </c>
      <c r="GU65" t="e">
        <f>AND(#REF!,"AAAAAH+5/so=")</f>
        <v>#REF!</v>
      </c>
      <c r="GV65" t="e">
        <f>AND(#REF!,"AAAAAH+5/ss=")</f>
        <v>#REF!</v>
      </c>
      <c r="GW65" t="e">
        <f>AND(#REF!,"AAAAAH+5/sw=")</f>
        <v>#REF!</v>
      </c>
      <c r="GX65" t="e">
        <f>AND(#REF!,"AAAAAH+5/s0=")</f>
        <v>#REF!</v>
      </c>
      <c r="GY65" t="e">
        <f>AND(#REF!,"AAAAAH+5/s4=")</f>
        <v>#REF!</v>
      </c>
      <c r="GZ65" t="e">
        <f>AND(#REF!,"AAAAAH+5/s8=")</f>
        <v>#REF!</v>
      </c>
      <c r="HA65" t="e">
        <f>AND(#REF!,"AAAAAH+5/tA=")</f>
        <v>#REF!</v>
      </c>
      <c r="HB65" t="e">
        <f>AND(#REF!,"AAAAAH+5/tE=")</f>
        <v>#REF!</v>
      </c>
      <c r="HC65" t="e">
        <f>AND(#REF!,"AAAAAH+5/tI=")</f>
        <v>#REF!</v>
      </c>
      <c r="HD65" t="e">
        <f>AND(#REF!,"AAAAAH+5/tM=")</f>
        <v>#REF!</v>
      </c>
      <c r="HE65" t="e">
        <f>IF(#REF!,"AAAAAH+5/tQ=",0)</f>
        <v>#REF!</v>
      </c>
      <c r="HF65" t="e">
        <f>AND(#REF!,"AAAAAH+5/tU=")</f>
        <v>#REF!</v>
      </c>
      <c r="HG65" t="e">
        <f>AND(#REF!,"AAAAAH+5/tY=")</f>
        <v>#REF!</v>
      </c>
      <c r="HH65" t="e">
        <f>AND(#REF!,"AAAAAH+5/tc=")</f>
        <v>#REF!</v>
      </c>
      <c r="HI65" t="e">
        <f>AND(#REF!,"AAAAAH+5/tg=")</f>
        <v>#REF!</v>
      </c>
      <c r="HJ65" t="e">
        <f>AND(#REF!,"AAAAAH+5/tk=")</f>
        <v>#REF!</v>
      </c>
      <c r="HK65" t="e">
        <f>AND(#REF!,"AAAAAH+5/to=")</f>
        <v>#REF!</v>
      </c>
      <c r="HL65" t="e">
        <f>AND(#REF!,"AAAAAH+5/ts=")</f>
        <v>#REF!</v>
      </c>
      <c r="HM65" t="e">
        <f>AND(#REF!,"AAAAAH+5/tw=")</f>
        <v>#REF!</v>
      </c>
      <c r="HN65" t="e">
        <f>AND(#REF!,"AAAAAH+5/t0=")</f>
        <v>#REF!</v>
      </c>
      <c r="HO65" t="e">
        <f>AND(#REF!,"AAAAAH+5/t4=")</f>
        <v>#REF!</v>
      </c>
      <c r="HP65" t="e">
        <f>AND(#REF!,"AAAAAH+5/t8=")</f>
        <v>#REF!</v>
      </c>
      <c r="HQ65" t="e">
        <f>AND(#REF!,"AAAAAH+5/uA=")</f>
        <v>#REF!</v>
      </c>
      <c r="HR65" t="e">
        <f>AND(#REF!,"AAAAAH+5/uE=")</f>
        <v>#REF!</v>
      </c>
      <c r="HS65" t="e">
        <f>AND(#REF!,"AAAAAH+5/uI=")</f>
        <v>#REF!</v>
      </c>
      <c r="HT65" t="e">
        <f>IF(#REF!,"AAAAAH+5/uM=",0)</f>
        <v>#REF!</v>
      </c>
      <c r="HU65" t="e">
        <f>AND(#REF!,"AAAAAH+5/uQ=")</f>
        <v>#REF!</v>
      </c>
      <c r="HV65" t="e">
        <f>AND(#REF!,"AAAAAH+5/uU=")</f>
        <v>#REF!</v>
      </c>
      <c r="HW65" t="e">
        <f>AND(#REF!,"AAAAAH+5/uY=")</f>
        <v>#REF!</v>
      </c>
      <c r="HX65" t="e">
        <f>AND(#REF!,"AAAAAH+5/uc=")</f>
        <v>#REF!</v>
      </c>
      <c r="HY65" t="e">
        <f>AND(#REF!,"AAAAAH+5/ug=")</f>
        <v>#REF!</v>
      </c>
      <c r="HZ65" t="e">
        <f>AND(#REF!,"AAAAAH+5/uk=")</f>
        <v>#REF!</v>
      </c>
      <c r="IA65" t="e">
        <f>AND(#REF!,"AAAAAH+5/uo=")</f>
        <v>#REF!</v>
      </c>
      <c r="IB65" t="e">
        <f>AND(#REF!,"AAAAAH+5/us=")</f>
        <v>#REF!</v>
      </c>
      <c r="IC65" t="e">
        <f>AND(#REF!,"AAAAAH+5/uw=")</f>
        <v>#REF!</v>
      </c>
      <c r="ID65" t="e">
        <f>AND(#REF!,"AAAAAH+5/u0=")</f>
        <v>#REF!</v>
      </c>
      <c r="IE65" t="e">
        <f>AND(#REF!,"AAAAAH+5/u4=")</f>
        <v>#REF!</v>
      </c>
      <c r="IF65" t="e">
        <f>AND(#REF!,"AAAAAH+5/u8=")</f>
        <v>#REF!</v>
      </c>
      <c r="IG65" t="e">
        <f>AND(#REF!,"AAAAAH+5/vA=")</f>
        <v>#REF!</v>
      </c>
      <c r="IH65" t="e">
        <f>AND(#REF!,"AAAAAH+5/vE=")</f>
        <v>#REF!</v>
      </c>
      <c r="II65" t="e">
        <f>IF(#REF!,"AAAAAH+5/vI=",0)</f>
        <v>#REF!</v>
      </c>
      <c r="IJ65" t="e">
        <f>AND(#REF!,"AAAAAH+5/vM=")</f>
        <v>#REF!</v>
      </c>
      <c r="IK65" t="e">
        <f>AND(#REF!,"AAAAAH+5/vQ=")</f>
        <v>#REF!</v>
      </c>
      <c r="IL65" t="e">
        <f>AND(#REF!,"AAAAAH+5/vU=")</f>
        <v>#REF!</v>
      </c>
      <c r="IM65" t="e">
        <f>AND(#REF!,"AAAAAH+5/vY=")</f>
        <v>#REF!</v>
      </c>
      <c r="IN65" t="e">
        <f>AND(#REF!,"AAAAAH+5/vc=")</f>
        <v>#REF!</v>
      </c>
      <c r="IO65" t="e">
        <f>AND(#REF!,"AAAAAH+5/vg=")</f>
        <v>#REF!</v>
      </c>
      <c r="IP65" t="e">
        <f>AND(#REF!,"AAAAAH+5/vk=")</f>
        <v>#REF!</v>
      </c>
      <c r="IQ65" t="e">
        <f>AND(#REF!,"AAAAAH+5/vo=")</f>
        <v>#REF!</v>
      </c>
      <c r="IR65" t="e">
        <f>AND(#REF!,"AAAAAH+5/vs=")</f>
        <v>#REF!</v>
      </c>
      <c r="IS65" t="e">
        <f>AND(#REF!,"AAAAAH+5/vw=")</f>
        <v>#REF!</v>
      </c>
      <c r="IT65" t="e">
        <f>AND(#REF!,"AAAAAH+5/v0=")</f>
        <v>#REF!</v>
      </c>
      <c r="IU65" t="e">
        <f>AND(#REF!,"AAAAAH+5/v4=")</f>
        <v>#REF!</v>
      </c>
      <c r="IV65" t="e">
        <f>AND(#REF!,"AAAAAH+5/v8=")</f>
        <v>#REF!</v>
      </c>
    </row>
    <row r="66" spans="1:256" x14ac:dyDescent="0.15">
      <c r="A66" t="e">
        <f>AND(#REF!,"AAAAAGz3twA=")</f>
        <v>#REF!</v>
      </c>
      <c r="B66" t="e">
        <f>IF(#REF!,"AAAAAGz3twE=",0)</f>
        <v>#REF!</v>
      </c>
      <c r="C66" t="e">
        <f>AND(#REF!,"AAAAAGz3twI=")</f>
        <v>#REF!</v>
      </c>
      <c r="D66" t="e">
        <f>AND(#REF!,"AAAAAGz3twM=")</f>
        <v>#REF!</v>
      </c>
      <c r="E66" t="e">
        <f>AND(#REF!,"AAAAAGz3twQ=")</f>
        <v>#REF!</v>
      </c>
      <c r="F66" t="e">
        <f>AND(#REF!,"AAAAAGz3twU=")</f>
        <v>#REF!</v>
      </c>
      <c r="G66" t="e">
        <f>AND(#REF!,"AAAAAGz3twY=")</f>
        <v>#REF!</v>
      </c>
      <c r="H66" t="e">
        <f>AND(#REF!,"AAAAAGz3twc=")</f>
        <v>#REF!</v>
      </c>
      <c r="I66" t="e">
        <f>AND(#REF!,"AAAAAGz3twg=")</f>
        <v>#REF!</v>
      </c>
      <c r="J66" t="e">
        <f>AND(#REF!,"AAAAAGz3twk=")</f>
        <v>#REF!</v>
      </c>
      <c r="K66" t="e">
        <f>AND(#REF!,"AAAAAGz3two=")</f>
        <v>#REF!</v>
      </c>
      <c r="L66" t="e">
        <f>AND(#REF!,"AAAAAGz3tws=")</f>
        <v>#REF!</v>
      </c>
      <c r="M66" t="e">
        <f>AND(#REF!,"AAAAAGz3tww=")</f>
        <v>#REF!</v>
      </c>
      <c r="N66" t="e">
        <f>AND(#REF!,"AAAAAGz3tw0=")</f>
        <v>#REF!</v>
      </c>
      <c r="O66" t="e">
        <f>AND(#REF!,"AAAAAGz3tw4=")</f>
        <v>#REF!</v>
      </c>
      <c r="P66" t="e">
        <f>AND(#REF!,"AAAAAGz3tw8=")</f>
        <v>#REF!</v>
      </c>
      <c r="Q66" t="e">
        <f>IF(#REF!,"AAAAAGz3txA=",0)</f>
        <v>#REF!</v>
      </c>
      <c r="R66" t="e">
        <f>AND(#REF!,"AAAAAGz3txE=")</f>
        <v>#REF!</v>
      </c>
      <c r="S66" t="e">
        <f>AND(#REF!,"AAAAAGz3txI=")</f>
        <v>#REF!</v>
      </c>
      <c r="T66" t="e">
        <f>AND(#REF!,"AAAAAGz3txM=")</f>
        <v>#REF!</v>
      </c>
      <c r="U66" t="e">
        <f>AND(#REF!,"AAAAAGz3txQ=")</f>
        <v>#REF!</v>
      </c>
      <c r="V66" t="e">
        <f>AND(#REF!,"AAAAAGz3txU=")</f>
        <v>#REF!</v>
      </c>
      <c r="W66" t="e">
        <f>AND(#REF!,"AAAAAGz3txY=")</f>
        <v>#REF!</v>
      </c>
      <c r="X66" t="e">
        <f>AND(#REF!,"AAAAAGz3txc=")</f>
        <v>#REF!</v>
      </c>
      <c r="Y66" t="e">
        <f>AND(#REF!,"AAAAAGz3txg=")</f>
        <v>#REF!</v>
      </c>
      <c r="Z66" t="e">
        <f>AND(#REF!,"AAAAAGz3txk=")</f>
        <v>#REF!</v>
      </c>
      <c r="AA66" t="e">
        <f>AND(#REF!,"AAAAAGz3txo=")</f>
        <v>#REF!</v>
      </c>
      <c r="AB66" t="e">
        <f>AND(#REF!,"AAAAAGz3txs=")</f>
        <v>#REF!</v>
      </c>
      <c r="AC66" t="e">
        <f>AND(#REF!,"AAAAAGz3txw=")</f>
        <v>#REF!</v>
      </c>
      <c r="AD66" t="e">
        <f>AND(#REF!,"AAAAAGz3tx0=")</f>
        <v>#REF!</v>
      </c>
      <c r="AE66" t="e">
        <f>AND(#REF!,"AAAAAGz3tx4=")</f>
        <v>#REF!</v>
      </c>
      <c r="AF66" t="e">
        <f>IF(#REF!,"AAAAAGz3tx8=",0)</f>
        <v>#REF!</v>
      </c>
      <c r="AG66" t="e">
        <f>AND(#REF!,"AAAAAGz3tyA=")</f>
        <v>#REF!</v>
      </c>
      <c r="AH66" t="e">
        <f>AND(#REF!,"AAAAAGz3tyE=")</f>
        <v>#REF!</v>
      </c>
      <c r="AI66" t="e">
        <f>AND(#REF!,"AAAAAGz3tyI=")</f>
        <v>#REF!</v>
      </c>
      <c r="AJ66" t="e">
        <f>AND(#REF!,"AAAAAGz3tyM=")</f>
        <v>#REF!</v>
      </c>
      <c r="AK66" t="e">
        <f>AND(#REF!,"AAAAAGz3tyQ=")</f>
        <v>#REF!</v>
      </c>
      <c r="AL66" t="e">
        <f>AND(#REF!,"AAAAAGz3tyU=")</f>
        <v>#REF!</v>
      </c>
      <c r="AM66" t="e">
        <f>AND(#REF!,"AAAAAGz3tyY=")</f>
        <v>#REF!</v>
      </c>
      <c r="AN66" t="e">
        <f>AND(#REF!,"AAAAAGz3tyc=")</f>
        <v>#REF!</v>
      </c>
      <c r="AO66" t="e">
        <f>AND(#REF!,"AAAAAGz3tyg=")</f>
        <v>#REF!</v>
      </c>
      <c r="AP66" t="e">
        <f>AND(#REF!,"AAAAAGz3tyk=")</f>
        <v>#REF!</v>
      </c>
      <c r="AQ66" t="e">
        <f>AND(#REF!,"AAAAAGz3tyo=")</f>
        <v>#REF!</v>
      </c>
      <c r="AR66" t="e">
        <f>AND(#REF!,"AAAAAGz3tys=")</f>
        <v>#REF!</v>
      </c>
      <c r="AS66" t="e">
        <f>AND(#REF!,"AAAAAGz3tyw=")</f>
        <v>#REF!</v>
      </c>
      <c r="AT66" t="e">
        <f>AND(#REF!,"AAAAAGz3ty0=")</f>
        <v>#REF!</v>
      </c>
      <c r="AU66" t="e">
        <f>IF(#REF!,"AAAAAGz3ty4=",0)</f>
        <v>#REF!</v>
      </c>
      <c r="AV66" t="e">
        <f>AND(#REF!,"AAAAAGz3ty8=")</f>
        <v>#REF!</v>
      </c>
      <c r="AW66" t="e">
        <f>AND(#REF!,"AAAAAGz3tzA=")</f>
        <v>#REF!</v>
      </c>
      <c r="AX66" t="e">
        <f>AND(#REF!,"AAAAAGz3tzE=")</f>
        <v>#REF!</v>
      </c>
      <c r="AY66" t="e">
        <f>AND(#REF!,"AAAAAGz3tzI=")</f>
        <v>#REF!</v>
      </c>
      <c r="AZ66" t="e">
        <f>AND(#REF!,"AAAAAGz3tzM=")</f>
        <v>#REF!</v>
      </c>
      <c r="BA66" t="e">
        <f>AND(#REF!,"AAAAAGz3tzQ=")</f>
        <v>#REF!</v>
      </c>
      <c r="BB66" t="e">
        <f>AND(#REF!,"AAAAAGz3tzU=")</f>
        <v>#REF!</v>
      </c>
      <c r="BC66" t="e">
        <f>AND(#REF!,"AAAAAGz3tzY=")</f>
        <v>#REF!</v>
      </c>
      <c r="BD66" t="e">
        <f>AND(#REF!,"AAAAAGz3tzc=")</f>
        <v>#REF!</v>
      </c>
      <c r="BE66" t="e">
        <f>AND(#REF!,"AAAAAGz3tzg=")</f>
        <v>#REF!</v>
      </c>
      <c r="BF66" t="e">
        <f>AND(#REF!,"AAAAAGz3tzk=")</f>
        <v>#REF!</v>
      </c>
      <c r="BG66" t="e">
        <f>AND(#REF!,"AAAAAGz3tzo=")</f>
        <v>#REF!</v>
      </c>
      <c r="BH66" t="e">
        <f>AND(#REF!,"AAAAAGz3tzs=")</f>
        <v>#REF!</v>
      </c>
      <c r="BI66" t="e">
        <f>AND(#REF!,"AAAAAGz3tzw=")</f>
        <v>#REF!</v>
      </c>
      <c r="BJ66" t="e">
        <f>IF(#REF!,"AAAAAGz3tz0=",0)</f>
        <v>#REF!</v>
      </c>
      <c r="BK66" t="e">
        <f>AND(#REF!,"AAAAAGz3tz4=")</f>
        <v>#REF!</v>
      </c>
      <c r="BL66" t="e">
        <f>AND(#REF!,"AAAAAGz3tz8=")</f>
        <v>#REF!</v>
      </c>
      <c r="BM66" t="e">
        <f>AND(#REF!,"AAAAAGz3t0A=")</f>
        <v>#REF!</v>
      </c>
      <c r="BN66" t="e">
        <f>AND(#REF!,"AAAAAGz3t0E=")</f>
        <v>#REF!</v>
      </c>
      <c r="BO66" t="e">
        <f>AND(#REF!,"AAAAAGz3t0I=")</f>
        <v>#REF!</v>
      </c>
      <c r="BP66" t="e">
        <f>AND(#REF!,"AAAAAGz3t0M=")</f>
        <v>#REF!</v>
      </c>
      <c r="BQ66" t="e">
        <f>AND(#REF!,"AAAAAGz3t0Q=")</f>
        <v>#REF!</v>
      </c>
      <c r="BR66" t="e">
        <f>AND(#REF!,"AAAAAGz3t0U=")</f>
        <v>#REF!</v>
      </c>
      <c r="BS66" t="e">
        <f>AND(#REF!,"AAAAAGz3t0Y=")</f>
        <v>#REF!</v>
      </c>
      <c r="BT66" t="e">
        <f>AND(#REF!,"AAAAAGz3t0c=")</f>
        <v>#REF!</v>
      </c>
      <c r="BU66" t="e">
        <f>AND(#REF!,"AAAAAGz3t0g=")</f>
        <v>#REF!</v>
      </c>
      <c r="BV66" t="e">
        <f>AND(#REF!,"AAAAAGz3t0k=")</f>
        <v>#REF!</v>
      </c>
      <c r="BW66" t="e">
        <f>AND(#REF!,"AAAAAGz3t0o=")</f>
        <v>#REF!</v>
      </c>
      <c r="BX66" t="e">
        <f>AND(#REF!,"AAAAAGz3t0s=")</f>
        <v>#REF!</v>
      </c>
      <c r="BY66" t="e">
        <f>IF(#REF!,"AAAAAGz3t0w=",0)</f>
        <v>#REF!</v>
      </c>
      <c r="BZ66" t="e">
        <f>AND(#REF!,"AAAAAGz3t00=")</f>
        <v>#REF!</v>
      </c>
      <c r="CA66" t="e">
        <f>AND(#REF!,"AAAAAGz3t04=")</f>
        <v>#REF!</v>
      </c>
      <c r="CB66" t="e">
        <f>AND(#REF!,"AAAAAGz3t08=")</f>
        <v>#REF!</v>
      </c>
      <c r="CC66" t="e">
        <f>AND(#REF!,"AAAAAGz3t1A=")</f>
        <v>#REF!</v>
      </c>
      <c r="CD66" t="e">
        <f>AND(#REF!,"AAAAAGz3t1E=")</f>
        <v>#REF!</v>
      </c>
      <c r="CE66" t="e">
        <f>AND(#REF!,"AAAAAGz3t1I=")</f>
        <v>#REF!</v>
      </c>
      <c r="CF66" t="e">
        <f>AND(#REF!,"AAAAAGz3t1M=")</f>
        <v>#REF!</v>
      </c>
      <c r="CG66" t="e">
        <f>AND(#REF!,"AAAAAGz3t1Q=")</f>
        <v>#REF!</v>
      </c>
      <c r="CH66" t="e">
        <f>AND(#REF!,"AAAAAGz3t1U=")</f>
        <v>#REF!</v>
      </c>
      <c r="CI66" t="e">
        <f>AND(#REF!,"AAAAAGz3t1Y=")</f>
        <v>#REF!</v>
      </c>
      <c r="CJ66" t="e">
        <f>AND(#REF!,"AAAAAGz3t1c=")</f>
        <v>#REF!</v>
      </c>
      <c r="CK66" t="e">
        <f>AND(#REF!,"AAAAAGz3t1g=")</f>
        <v>#REF!</v>
      </c>
      <c r="CL66" t="e">
        <f>AND(#REF!,"AAAAAGz3t1k=")</f>
        <v>#REF!</v>
      </c>
      <c r="CM66" t="e">
        <f>AND(#REF!,"AAAAAGz3t1o=")</f>
        <v>#REF!</v>
      </c>
      <c r="CN66" t="e">
        <f>IF(#REF!,"AAAAAGz3t1s=",0)</f>
        <v>#REF!</v>
      </c>
      <c r="CO66" t="e">
        <f>AND(#REF!,"AAAAAGz3t1w=")</f>
        <v>#REF!</v>
      </c>
      <c r="CP66" t="e">
        <f>AND(#REF!,"AAAAAGz3t10=")</f>
        <v>#REF!</v>
      </c>
      <c r="CQ66" t="e">
        <f>AND(#REF!,"AAAAAGz3t14=")</f>
        <v>#REF!</v>
      </c>
      <c r="CR66" t="e">
        <f>AND(#REF!,"AAAAAGz3t18=")</f>
        <v>#REF!</v>
      </c>
      <c r="CS66" t="e">
        <f>AND(#REF!,"AAAAAGz3t2A=")</f>
        <v>#REF!</v>
      </c>
      <c r="CT66" t="e">
        <f>AND(#REF!,"AAAAAGz3t2E=")</f>
        <v>#REF!</v>
      </c>
      <c r="CU66" t="e">
        <f>AND(#REF!,"AAAAAGz3t2I=")</f>
        <v>#REF!</v>
      </c>
      <c r="CV66" t="e">
        <f>AND(#REF!,"AAAAAGz3t2M=")</f>
        <v>#REF!</v>
      </c>
      <c r="CW66" t="e">
        <f>AND(#REF!,"AAAAAGz3t2Q=")</f>
        <v>#REF!</v>
      </c>
      <c r="CX66" t="e">
        <f>AND(#REF!,"AAAAAGz3t2U=")</f>
        <v>#REF!</v>
      </c>
      <c r="CY66" t="e">
        <f>AND(#REF!,"AAAAAGz3t2Y=")</f>
        <v>#REF!</v>
      </c>
      <c r="CZ66" t="e">
        <f>AND(#REF!,"AAAAAGz3t2c=")</f>
        <v>#REF!</v>
      </c>
      <c r="DA66" t="e">
        <f>AND(#REF!,"AAAAAGz3t2g=")</f>
        <v>#REF!</v>
      </c>
      <c r="DB66" t="e">
        <f>AND(#REF!,"AAAAAGz3t2k=")</f>
        <v>#REF!</v>
      </c>
      <c r="DC66" t="e">
        <f>IF(#REF!,"AAAAAGz3t2o=",0)</f>
        <v>#REF!</v>
      </c>
      <c r="DD66" t="e">
        <f>AND(#REF!,"AAAAAGz3t2s=")</f>
        <v>#REF!</v>
      </c>
      <c r="DE66" t="e">
        <f>AND(#REF!,"AAAAAGz3t2w=")</f>
        <v>#REF!</v>
      </c>
      <c r="DF66" t="e">
        <f>AND(#REF!,"AAAAAGz3t20=")</f>
        <v>#REF!</v>
      </c>
      <c r="DG66" t="e">
        <f>AND(#REF!,"AAAAAGz3t24=")</f>
        <v>#REF!</v>
      </c>
      <c r="DH66" t="e">
        <f>AND(#REF!,"AAAAAGz3t28=")</f>
        <v>#REF!</v>
      </c>
      <c r="DI66" t="e">
        <f>AND(#REF!,"AAAAAGz3t3A=")</f>
        <v>#REF!</v>
      </c>
      <c r="DJ66" t="e">
        <f>AND(#REF!,"AAAAAGz3t3E=")</f>
        <v>#REF!</v>
      </c>
      <c r="DK66" t="e">
        <f>AND(#REF!,"AAAAAGz3t3I=")</f>
        <v>#REF!</v>
      </c>
      <c r="DL66" t="e">
        <f>AND(#REF!,"AAAAAGz3t3M=")</f>
        <v>#REF!</v>
      </c>
      <c r="DM66" t="e">
        <f>AND(#REF!,"AAAAAGz3t3Q=")</f>
        <v>#REF!</v>
      </c>
      <c r="DN66" t="e">
        <f>AND(#REF!,"AAAAAGz3t3U=")</f>
        <v>#REF!</v>
      </c>
      <c r="DO66" t="e">
        <f>AND(#REF!,"AAAAAGz3t3Y=")</f>
        <v>#REF!</v>
      </c>
      <c r="DP66" t="e">
        <f>AND(#REF!,"AAAAAGz3t3c=")</f>
        <v>#REF!</v>
      </c>
      <c r="DQ66" t="e">
        <f>AND(#REF!,"AAAAAGz3t3g=")</f>
        <v>#REF!</v>
      </c>
      <c r="DR66" t="e">
        <f>IF(#REF!,"AAAAAGz3t3k=",0)</f>
        <v>#REF!</v>
      </c>
      <c r="DS66" t="e">
        <f>AND(#REF!,"AAAAAGz3t3o=")</f>
        <v>#REF!</v>
      </c>
      <c r="DT66" t="e">
        <f>AND(#REF!,"AAAAAGz3t3s=")</f>
        <v>#REF!</v>
      </c>
      <c r="DU66" t="e">
        <f>AND(#REF!,"AAAAAGz3t3w=")</f>
        <v>#REF!</v>
      </c>
      <c r="DV66" t="e">
        <f>AND(#REF!,"AAAAAGz3t30=")</f>
        <v>#REF!</v>
      </c>
      <c r="DW66" t="e">
        <f>AND(#REF!,"AAAAAGz3t34=")</f>
        <v>#REF!</v>
      </c>
      <c r="DX66" t="e">
        <f>AND(#REF!,"AAAAAGz3t38=")</f>
        <v>#REF!</v>
      </c>
      <c r="DY66" t="e">
        <f>AND(#REF!,"AAAAAGz3t4A=")</f>
        <v>#REF!</v>
      </c>
      <c r="DZ66" t="e">
        <f>AND(#REF!,"AAAAAGz3t4E=")</f>
        <v>#REF!</v>
      </c>
      <c r="EA66" t="e">
        <f>AND(#REF!,"AAAAAGz3t4I=")</f>
        <v>#REF!</v>
      </c>
      <c r="EB66" t="e">
        <f>AND(#REF!,"AAAAAGz3t4M=")</f>
        <v>#REF!</v>
      </c>
      <c r="EC66" t="e">
        <f>AND(#REF!,"AAAAAGz3t4Q=")</f>
        <v>#REF!</v>
      </c>
      <c r="ED66" t="e">
        <f>AND(#REF!,"AAAAAGz3t4U=")</f>
        <v>#REF!</v>
      </c>
      <c r="EE66" t="e">
        <f>AND(#REF!,"AAAAAGz3t4Y=")</f>
        <v>#REF!</v>
      </c>
      <c r="EF66" t="e">
        <f>AND(#REF!,"AAAAAGz3t4c=")</f>
        <v>#REF!</v>
      </c>
      <c r="EG66" t="e">
        <f>IF(#REF!,"AAAAAGz3t4g=",0)</f>
        <v>#REF!</v>
      </c>
      <c r="EH66" t="e">
        <f>AND(#REF!,"AAAAAGz3t4k=")</f>
        <v>#REF!</v>
      </c>
      <c r="EI66" t="e">
        <f>AND(#REF!,"AAAAAGz3t4o=")</f>
        <v>#REF!</v>
      </c>
      <c r="EJ66" t="e">
        <f>AND(#REF!,"AAAAAGz3t4s=")</f>
        <v>#REF!</v>
      </c>
      <c r="EK66" t="e">
        <f>AND(#REF!,"AAAAAGz3t4w=")</f>
        <v>#REF!</v>
      </c>
      <c r="EL66" t="e">
        <f>AND(#REF!,"AAAAAGz3t40=")</f>
        <v>#REF!</v>
      </c>
      <c r="EM66" t="e">
        <f>AND(#REF!,"AAAAAGz3t44=")</f>
        <v>#REF!</v>
      </c>
      <c r="EN66" t="e">
        <f>AND(#REF!,"AAAAAGz3t48=")</f>
        <v>#REF!</v>
      </c>
      <c r="EO66" t="e">
        <f>AND(#REF!,"AAAAAGz3t5A=")</f>
        <v>#REF!</v>
      </c>
      <c r="EP66" t="e">
        <f>AND(#REF!,"AAAAAGz3t5E=")</f>
        <v>#REF!</v>
      </c>
      <c r="EQ66" t="e">
        <f>AND(#REF!,"AAAAAGz3t5I=")</f>
        <v>#REF!</v>
      </c>
      <c r="ER66" t="e">
        <f>AND(#REF!,"AAAAAGz3t5M=")</f>
        <v>#REF!</v>
      </c>
      <c r="ES66" t="e">
        <f>AND(#REF!,"AAAAAGz3t5Q=")</f>
        <v>#REF!</v>
      </c>
      <c r="ET66" t="e">
        <f>AND(#REF!,"AAAAAGz3t5U=")</f>
        <v>#REF!</v>
      </c>
      <c r="EU66" t="e">
        <f>AND(#REF!,"AAAAAGz3t5Y=")</f>
        <v>#REF!</v>
      </c>
      <c r="EV66" t="e">
        <f>IF(#REF!,"AAAAAGz3t5c=",0)</f>
        <v>#REF!</v>
      </c>
      <c r="EW66" t="e">
        <f>AND(#REF!,"AAAAAGz3t5g=")</f>
        <v>#REF!</v>
      </c>
      <c r="EX66" t="e">
        <f>AND(#REF!,"AAAAAGz3t5k=")</f>
        <v>#REF!</v>
      </c>
      <c r="EY66" t="e">
        <f>AND(#REF!,"AAAAAGz3t5o=")</f>
        <v>#REF!</v>
      </c>
      <c r="EZ66" t="e">
        <f>AND(#REF!,"AAAAAGz3t5s=")</f>
        <v>#REF!</v>
      </c>
      <c r="FA66" t="e">
        <f>AND(#REF!,"AAAAAGz3t5w=")</f>
        <v>#REF!</v>
      </c>
      <c r="FB66" t="e">
        <f>AND(#REF!,"AAAAAGz3t50=")</f>
        <v>#REF!</v>
      </c>
      <c r="FC66" t="e">
        <f>AND(#REF!,"AAAAAGz3t54=")</f>
        <v>#REF!</v>
      </c>
      <c r="FD66" t="e">
        <f>AND(#REF!,"AAAAAGz3t58=")</f>
        <v>#REF!</v>
      </c>
      <c r="FE66" t="e">
        <f>AND(#REF!,"AAAAAGz3t6A=")</f>
        <v>#REF!</v>
      </c>
      <c r="FF66" t="e">
        <f>AND(#REF!,"AAAAAGz3t6E=")</f>
        <v>#REF!</v>
      </c>
      <c r="FG66" t="e">
        <f>AND(#REF!,"AAAAAGz3t6I=")</f>
        <v>#REF!</v>
      </c>
      <c r="FH66" t="e">
        <f>AND(#REF!,"AAAAAGz3t6M=")</f>
        <v>#REF!</v>
      </c>
      <c r="FI66" t="e">
        <f>AND(#REF!,"AAAAAGz3t6Q=")</f>
        <v>#REF!</v>
      </c>
      <c r="FJ66" t="e">
        <f>AND(#REF!,"AAAAAGz3t6U=")</f>
        <v>#REF!</v>
      </c>
      <c r="FK66" t="e">
        <f>IF(#REF!,"AAAAAGz3t6Y=",0)</f>
        <v>#REF!</v>
      </c>
      <c r="FL66" t="e">
        <f>AND(#REF!,"AAAAAGz3t6c=")</f>
        <v>#REF!</v>
      </c>
      <c r="FM66" t="e">
        <f>AND(#REF!,"AAAAAGz3t6g=")</f>
        <v>#REF!</v>
      </c>
      <c r="FN66" t="e">
        <f>AND(#REF!,"AAAAAGz3t6k=")</f>
        <v>#REF!</v>
      </c>
      <c r="FO66" t="e">
        <f>AND(#REF!,"AAAAAGz3t6o=")</f>
        <v>#REF!</v>
      </c>
      <c r="FP66" t="e">
        <f>AND(#REF!,"AAAAAGz3t6s=")</f>
        <v>#REF!</v>
      </c>
      <c r="FQ66" t="e">
        <f>AND(#REF!,"AAAAAGz3t6w=")</f>
        <v>#REF!</v>
      </c>
      <c r="FR66" t="e">
        <f>AND(#REF!,"AAAAAGz3t60=")</f>
        <v>#REF!</v>
      </c>
      <c r="FS66" t="e">
        <f>AND(#REF!,"AAAAAGz3t64=")</f>
        <v>#REF!</v>
      </c>
      <c r="FT66" t="e">
        <f>AND(#REF!,"AAAAAGz3t68=")</f>
        <v>#REF!</v>
      </c>
      <c r="FU66" t="e">
        <f>AND(#REF!,"AAAAAGz3t7A=")</f>
        <v>#REF!</v>
      </c>
      <c r="FV66" t="e">
        <f>AND(#REF!,"AAAAAGz3t7E=")</f>
        <v>#REF!</v>
      </c>
      <c r="FW66" t="e">
        <f>AND(#REF!,"AAAAAGz3t7I=")</f>
        <v>#REF!</v>
      </c>
      <c r="FX66" t="e">
        <f>AND(#REF!,"AAAAAGz3t7M=")</f>
        <v>#REF!</v>
      </c>
      <c r="FY66" t="e">
        <f>AND(#REF!,"AAAAAGz3t7Q=")</f>
        <v>#REF!</v>
      </c>
      <c r="FZ66" t="e">
        <f>IF(#REF!,"AAAAAGz3t7U=",0)</f>
        <v>#REF!</v>
      </c>
      <c r="GA66" t="e">
        <f>AND(#REF!,"AAAAAGz3t7Y=")</f>
        <v>#REF!</v>
      </c>
      <c r="GB66" t="e">
        <f>AND(#REF!,"AAAAAGz3t7c=")</f>
        <v>#REF!</v>
      </c>
      <c r="GC66" t="e">
        <f>AND(#REF!,"AAAAAGz3t7g=")</f>
        <v>#REF!</v>
      </c>
      <c r="GD66" t="e">
        <f>AND(#REF!,"AAAAAGz3t7k=")</f>
        <v>#REF!</v>
      </c>
      <c r="GE66" t="e">
        <f>AND(#REF!,"AAAAAGz3t7o=")</f>
        <v>#REF!</v>
      </c>
      <c r="GF66" t="e">
        <f>AND(#REF!,"AAAAAGz3t7s=")</f>
        <v>#REF!</v>
      </c>
      <c r="GG66" t="e">
        <f>AND(#REF!,"AAAAAGz3t7w=")</f>
        <v>#REF!</v>
      </c>
      <c r="GH66" t="e">
        <f>AND(#REF!,"AAAAAGz3t70=")</f>
        <v>#REF!</v>
      </c>
      <c r="GI66" t="e">
        <f>AND(#REF!,"AAAAAGz3t74=")</f>
        <v>#REF!</v>
      </c>
      <c r="GJ66" t="e">
        <f>AND(#REF!,"AAAAAGz3t78=")</f>
        <v>#REF!</v>
      </c>
      <c r="GK66" t="e">
        <f>AND(#REF!,"AAAAAGz3t8A=")</f>
        <v>#REF!</v>
      </c>
      <c r="GL66" t="e">
        <f>AND(#REF!,"AAAAAGz3t8E=")</f>
        <v>#REF!</v>
      </c>
      <c r="GM66" t="e">
        <f>AND(#REF!,"AAAAAGz3t8I=")</f>
        <v>#REF!</v>
      </c>
      <c r="GN66" t="e">
        <f>AND(#REF!,"AAAAAGz3t8M=")</f>
        <v>#REF!</v>
      </c>
      <c r="GO66" t="e">
        <f>IF(#REF!,"AAAAAGz3t8Q=",0)</f>
        <v>#REF!</v>
      </c>
      <c r="GP66" t="e">
        <f>AND(#REF!,"AAAAAGz3t8U=")</f>
        <v>#REF!</v>
      </c>
      <c r="GQ66" t="e">
        <f>AND(#REF!,"AAAAAGz3t8Y=")</f>
        <v>#REF!</v>
      </c>
      <c r="GR66" t="e">
        <f>AND(#REF!,"AAAAAGz3t8c=")</f>
        <v>#REF!</v>
      </c>
      <c r="GS66" t="e">
        <f>AND(#REF!,"AAAAAGz3t8g=")</f>
        <v>#REF!</v>
      </c>
      <c r="GT66" t="e">
        <f>AND(#REF!,"AAAAAGz3t8k=")</f>
        <v>#REF!</v>
      </c>
      <c r="GU66" t="e">
        <f>AND(#REF!,"AAAAAGz3t8o=")</f>
        <v>#REF!</v>
      </c>
      <c r="GV66" t="e">
        <f>AND(#REF!,"AAAAAGz3t8s=")</f>
        <v>#REF!</v>
      </c>
      <c r="GW66" t="e">
        <f>AND(#REF!,"AAAAAGz3t8w=")</f>
        <v>#REF!</v>
      </c>
      <c r="GX66" t="e">
        <f>AND(#REF!,"AAAAAGz3t80=")</f>
        <v>#REF!</v>
      </c>
      <c r="GY66" t="e">
        <f>AND(#REF!,"AAAAAGz3t84=")</f>
        <v>#REF!</v>
      </c>
      <c r="GZ66" t="e">
        <f>AND(#REF!,"AAAAAGz3t88=")</f>
        <v>#REF!</v>
      </c>
      <c r="HA66" t="e">
        <f>AND(#REF!,"AAAAAGz3t9A=")</f>
        <v>#REF!</v>
      </c>
      <c r="HB66" t="e">
        <f>AND(#REF!,"AAAAAGz3t9E=")</f>
        <v>#REF!</v>
      </c>
      <c r="HC66" t="e">
        <f>AND(#REF!,"AAAAAGz3t9I=")</f>
        <v>#REF!</v>
      </c>
      <c r="HD66" t="e">
        <f>IF(#REF!,"AAAAAGz3t9M=",0)</f>
        <v>#REF!</v>
      </c>
      <c r="HE66" t="e">
        <f>AND(#REF!,"AAAAAGz3t9Q=")</f>
        <v>#REF!</v>
      </c>
      <c r="HF66" t="e">
        <f>AND(#REF!,"AAAAAGz3t9U=")</f>
        <v>#REF!</v>
      </c>
      <c r="HG66" t="e">
        <f>AND(#REF!,"AAAAAGz3t9Y=")</f>
        <v>#REF!</v>
      </c>
      <c r="HH66" t="e">
        <f>AND(#REF!,"AAAAAGz3t9c=")</f>
        <v>#REF!</v>
      </c>
      <c r="HI66" t="e">
        <f>AND(#REF!,"AAAAAGz3t9g=")</f>
        <v>#REF!</v>
      </c>
      <c r="HJ66" t="e">
        <f>AND(#REF!,"AAAAAGz3t9k=")</f>
        <v>#REF!</v>
      </c>
      <c r="HK66" t="e">
        <f>AND(#REF!,"AAAAAGz3t9o=")</f>
        <v>#REF!</v>
      </c>
      <c r="HL66" t="e">
        <f>AND(#REF!,"AAAAAGz3t9s=")</f>
        <v>#REF!</v>
      </c>
      <c r="HM66" t="e">
        <f>AND(#REF!,"AAAAAGz3t9w=")</f>
        <v>#REF!</v>
      </c>
      <c r="HN66" t="e">
        <f>AND(#REF!,"AAAAAGz3t90=")</f>
        <v>#REF!</v>
      </c>
      <c r="HO66" t="e">
        <f>AND(#REF!,"AAAAAGz3t94=")</f>
        <v>#REF!</v>
      </c>
      <c r="HP66" t="e">
        <f>AND(#REF!,"AAAAAGz3t98=")</f>
        <v>#REF!</v>
      </c>
      <c r="HQ66" t="e">
        <f>AND(#REF!,"AAAAAGz3t+A=")</f>
        <v>#REF!</v>
      </c>
      <c r="HR66" t="e">
        <f>AND(#REF!,"AAAAAGz3t+E=")</f>
        <v>#REF!</v>
      </c>
      <c r="HS66" t="e">
        <f>IF(#REF!,"AAAAAGz3t+I=",0)</f>
        <v>#REF!</v>
      </c>
      <c r="HT66" t="e">
        <f>AND(#REF!,"AAAAAGz3t+M=")</f>
        <v>#REF!</v>
      </c>
      <c r="HU66" t="e">
        <f>AND(#REF!,"AAAAAGz3t+Q=")</f>
        <v>#REF!</v>
      </c>
      <c r="HV66" t="e">
        <f>AND(#REF!,"AAAAAGz3t+U=")</f>
        <v>#REF!</v>
      </c>
      <c r="HW66" t="e">
        <f>AND(#REF!,"AAAAAGz3t+Y=")</f>
        <v>#REF!</v>
      </c>
      <c r="HX66" t="e">
        <f>AND(#REF!,"AAAAAGz3t+c=")</f>
        <v>#REF!</v>
      </c>
      <c r="HY66" t="e">
        <f>AND(#REF!,"AAAAAGz3t+g=")</f>
        <v>#REF!</v>
      </c>
      <c r="HZ66" t="e">
        <f>AND(#REF!,"AAAAAGz3t+k=")</f>
        <v>#REF!</v>
      </c>
      <c r="IA66" t="e">
        <f>AND(#REF!,"AAAAAGz3t+o=")</f>
        <v>#REF!</v>
      </c>
      <c r="IB66" t="e">
        <f>AND(#REF!,"AAAAAGz3t+s=")</f>
        <v>#REF!</v>
      </c>
      <c r="IC66" t="e">
        <f>AND(#REF!,"AAAAAGz3t+w=")</f>
        <v>#REF!</v>
      </c>
      <c r="ID66" t="e">
        <f>AND(#REF!,"AAAAAGz3t+0=")</f>
        <v>#REF!</v>
      </c>
      <c r="IE66" t="e">
        <f>AND(#REF!,"AAAAAGz3t+4=")</f>
        <v>#REF!</v>
      </c>
      <c r="IF66" t="e">
        <f>AND(#REF!,"AAAAAGz3t+8=")</f>
        <v>#REF!</v>
      </c>
      <c r="IG66" t="e">
        <f>AND(#REF!,"AAAAAGz3t/A=")</f>
        <v>#REF!</v>
      </c>
      <c r="IH66" t="e">
        <f>IF(#REF!,"AAAAAGz3t/E=",0)</f>
        <v>#REF!</v>
      </c>
      <c r="II66" t="e">
        <f>AND(#REF!,"AAAAAGz3t/I=")</f>
        <v>#REF!</v>
      </c>
      <c r="IJ66" t="e">
        <f>AND(#REF!,"AAAAAGz3t/M=")</f>
        <v>#REF!</v>
      </c>
      <c r="IK66" t="e">
        <f>AND(#REF!,"AAAAAGz3t/Q=")</f>
        <v>#REF!</v>
      </c>
      <c r="IL66" t="e">
        <f>AND(#REF!,"AAAAAGz3t/U=")</f>
        <v>#REF!</v>
      </c>
      <c r="IM66" t="e">
        <f>AND(#REF!,"AAAAAGz3t/Y=")</f>
        <v>#REF!</v>
      </c>
      <c r="IN66" t="e">
        <f>AND(#REF!,"AAAAAGz3t/c=")</f>
        <v>#REF!</v>
      </c>
      <c r="IO66" t="e">
        <f>AND(#REF!,"AAAAAGz3t/g=")</f>
        <v>#REF!</v>
      </c>
      <c r="IP66" t="e">
        <f>AND(#REF!,"AAAAAGz3t/k=")</f>
        <v>#REF!</v>
      </c>
      <c r="IQ66" t="e">
        <f>AND(#REF!,"AAAAAGz3t/o=")</f>
        <v>#REF!</v>
      </c>
      <c r="IR66" t="e">
        <f>AND(#REF!,"AAAAAGz3t/s=")</f>
        <v>#REF!</v>
      </c>
      <c r="IS66" t="e">
        <f>AND(#REF!,"AAAAAGz3t/w=")</f>
        <v>#REF!</v>
      </c>
      <c r="IT66" t="e">
        <f>AND(#REF!,"AAAAAGz3t/0=")</f>
        <v>#REF!</v>
      </c>
      <c r="IU66" t="e">
        <f>AND(#REF!,"AAAAAGz3t/4=")</f>
        <v>#REF!</v>
      </c>
      <c r="IV66" t="e">
        <f>AND(#REF!,"AAAAAGz3t/8=")</f>
        <v>#REF!</v>
      </c>
    </row>
    <row r="67" spans="1:256" x14ac:dyDescent="0.15">
      <c r="A67" t="e">
        <f>IF(#REF!,"AAAAAH7sLwA=",0)</f>
        <v>#REF!</v>
      </c>
      <c r="B67" t="e">
        <f>AND(#REF!,"AAAAAH7sLwE=")</f>
        <v>#REF!</v>
      </c>
      <c r="C67" t="e">
        <f>AND(#REF!,"AAAAAH7sLwI=")</f>
        <v>#REF!</v>
      </c>
      <c r="D67" t="e">
        <f>AND(#REF!,"AAAAAH7sLwM=")</f>
        <v>#REF!</v>
      </c>
      <c r="E67" t="e">
        <f>AND(#REF!,"AAAAAH7sLwQ=")</f>
        <v>#REF!</v>
      </c>
      <c r="F67" t="e">
        <f>AND(#REF!,"AAAAAH7sLwU=")</f>
        <v>#REF!</v>
      </c>
      <c r="G67" t="e">
        <f>AND(#REF!,"AAAAAH7sLwY=")</f>
        <v>#REF!</v>
      </c>
      <c r="H67" t="e">
        <f>AND(#REF!,"AAAAAH7sLwc=")</f>
        <v>#REF!</v>
      </c>
      <c r="I67" t="e">
        <f>AND(#REF!,"AAAAAH7sLwg=")</f>
        <v>#REF!</v>
      </c>
      <c r="J67" t="e">
        <f>AND(#REF!,"AAAAAH7sLwk=")</f>
        <v>#REF!</v>
      </c>
      <c r="K67" t="e">
        <f>AND(#REF!,"AAAAAH7sLwo=")</f>
        <v>#REF!</v>
      </c>
      <c r="L67" t="e">
        <f>AND(#REF!,"AAAAAH7sLws=")</f>
        <v>#REF!</v>
      </c>
      <c r="M67" t="e">
        <f>AND(#REF!,"AAAAAH7sLww=")</f>
        <v>#REF!</v>
      </c>
      <c r="N67" t="e">
        <f>AND(#REF!,"AAAAAH7sLw0=")</f>
        <v>#REF!</v>
      </c>
      <c r="O67" t="e">
        <f>AND(#REF!,"AAAAAH7sLw4=")</f>
        <v>#REF!</v>
      </c>
      <c r="P67" t="e">
        <f>IF(#REF!,"AAAAAH7sLw8=",0)</f>
        <v>#REF!</v>
      </c>
      <c r="Q67" t="e">
        <f>AND(#REF!,"AAAAAH7sLxA=")</f>
        <v>#REF!</v>
      </c>
      <c r="R67" t="e">
        <f>AND(#REF!,"AAAAAH7sLxE=")</f>
        <v>#REF!</v>
      </c>
      <c r="S67" t="e">
        <f>AND(#REF!,"AAAAAH7sLxI=")</f>
        <v>#REF!</v>
      </c>
      <c r="T67" t="e">
        <f>AND(#REF!,"AAAAAH7sLxM=")</f>
        <v>#REF!</v>
      </c>
      <c r="U67" t="e">
        <f>AND(#REF!,"AAAAAH7sLxQ=")</f>
        <v>#REF!</v>
      </c>
      <c r="V67" t="e">
        <f>AND(#REF!,"AAAAAH7sLxU=")</f>
        <v>#REF!</v>
      </c>
      <c r="W67" t="e">
        <f>AND(#REF!,"AAAAAH7sLxY=")</f>
        <v>#REF!</v>
      </c>
      <c r="X67" t="e">
        <f>AND(#REF!,"AAAAAH7sLxc=")</f>
        <v>#REF!</v>
      </c>
      <c r="Y67" t="e">
        <f>AND(#REF!,"AAAAAH7sLxg=")</f>
        <v>#REF!</v>
      </c>
      <c r="Z67" t="e">
        <f>AND(#REF!,"AAAAAH7sLxk=")</f>
        <v>#REF!</v>
      </c>
      <c r="AA67" t="e">
        <f>AND(#REF!,"AAAAAH7sLxo=")</f>
        <v>#REF!</v>
      </c>
      <c r="AB67" t="e">
        <f>AND(#REF!,"AAAAAH7sLxs=")</f>
        <v>#REF!</v>
      </c>
      <c r="AC67" t="e">
        <f>AND(#REF!,"AAAAAH7sLxw=")</f>
        <v>#REF!</v>
      </c>
      <c r="AD67" t="e">
        <f>AND(#REF!,"AAAAAH7sLx0=")</f>
        <v>#REF!</v>
      </c>
      <c r="AE67" t="e">
        <f>IF(#REF!,"AAAAAH7sLx4=",0)</f>
        <v>#REF!</v>
      </c>
      <c r="AF67" t="e">
        <f>AND(#REF!,"AAAAAH7sLx8=")</f>
        <v>#REF!</v>
      </c>
      <c r="AG67" t="e">
        <f>AND(#REF!,"AAAAAH7sLyA=")</f>
        <v>#REF!</v>
      </c>
      <c r="AH67" t="e">
        <f>AND(#REF!,"AAAAAH7sLyE=")</f>
        <v>#REF!</v>
      </c>
      <c r="AI67" t="e">
        <f>AND(#REF!,"AAAAAH7sLyI=")</f>
        <v>#REF!</v>
      </c>
      <c r="AJ67" t="e">
        <f>AND(#REF!,"AAAAAH7sLyM=")</f>
        <v>#REF!</v>
      </c>
      <c r="AK67" t="e">
        <f>AND(#REF!,"AAAAAH7sLyQ=")</f>
        <v>#REF!</v>
      </c>
      <c r="AL67" t="e">
        <f>AND(#REF!,"AAAAAH7sLyU=")</f>
        <v>#REF!</v>
      </c>
      <c r="AM67" t="e">
        <f>AND(#REF!,"AAAAAH7sLyY=")</f>
        <v>#REF!</v>
      </c>
      <c r="AN67" t="e">
        <f>AND(#REF!,"AAAAAH7sLyc=")</f>
        <v>#REF!</v>
      </c>
      <c r="AO67" t="e">
        <f>AND(#REF!,"AAAAAH7sLyg=")</f>
        <v>#REF!</v>
      </c>
      <c r="AP67" t="e">
        <f>AND(#REF!,"AAAAAH7sLyk=")</f>
        <v>#REF!</v>
      </c>
      <c r="AQ67" t="e">
        <f>AND(#REF!,"AAAAAH7sLyo=")</f>
        <v>#REF!</v>
      </c>
      <c r="AR67" t="e">
        <f>AND(#REF!,"AAAAAH7sLys=")</f>
        <v>#REF!</v>
      </c>
      <c r="AS67" t="e">
        <f>AND(#REF!,"AAAAAH7sLyw=")</f>
        <v>#REF!</v>
      </c>
      <c r="AT67" t="e">
        <f>IF(#REF!,"AAAAAH7sLy0=",0)</f>
        <v>#REF!</v>
      </c>
      <c r="AU67" t="e">
        <f>AND(#REF!,"AAAAAH7sLy4=")</f>
        <v>#REF!</v>
      </c>
      <c r="AV67" t="e">
        <f>AND(#REF!,"AAAAAH7sLy8=")</f>
        <v>#REF!</v>
      </c>
      <c r="AW67" t="e">
        <f>AND(#REF!,"AAAAAH7sLzA=")</f>
        <v>#REF!</v>
      </c>
      <c r="AX67" t="e">
        <f>AND(#REF!,"AAAAAH7sLzE=")</f>
        <v>#REF!</v>
      </c>
      <c r="AY67" t="e">
        <f>AND(#REF!,"AAAAAH7sLzI=")</f>
        <v>#REF!</v>
      </c>
      <c r="AZ67" t="e">
        <f>AND(#REF!,"AAAAAH7sLzM=")</f>
        <v>#REF!</v>
      </c>
      <c r="BA67" t="e">
        <f>AND(#REF!,"AAAAAH7sLzQ=")</f>
        <v>#REF!</v>
      </c>
      <c r="BB67" t="e">
        <f>AND(#REF!,"AAAAAH7sLzU=")</f>
        <v>#REF!</v>
      </c>
      <c r="BC67" t="e">
        <f>AND(#REF!,"AAAAAH7sLzY=")</f>
        <v>#REF!</v>
      </c>
      <c r="BD67" t="e">
        <f>AND(#REF!,"AAAAAH7sLzc=")</f>
        <v>#REF!</v>
      </c>
      <c r="BE67" t="e">
        <f>AND(#REF!,"AAAAAH7sLzg=")</f>
        <v>#REF!</v>
      </c>
      <c r="BF67" t="e">
        <f>AND(#REF!,"AAAAAH7sLzk=")</f>
        <v>#REF!</v>
      </c>
      <c r="BG67" t="e">
        <f>AND(#REF!,"AAAAAH7sLzo=")</f>
        <v>#REF!</v>
      </c>
      <c r="BH67" t="e">
        <f>AND(#REF!,"AAAAAH7sLzs=")</f>
        <v>#REF!</v>
      </c>
      <c r="BI67" t="e">
        <f>IF(#REF!,"AAAAAH7sLzw=",0)</f>
        <v>#REF!</v>
      </c>
      <c r="BJ67" t="e">
        <f>AND(#REF!,"AAAAAH7sLz0=")</f>
        <v>#REF!</v>
      </c>
      <c r="BK67" t="e">
        <f>AND(#REF!,"AAAAAH7sLz4=")</f>
        <v>#REF!</v>
      </c>
      <c r="BL67" t="e">
        <f>AND(#REF!,"AAAAAH7sLz8=")</f>
        <v>#REF!</v>
      </c>
      <c r="BM67" t="e">
        <f>AND(#REF!,"AAAAAH7sL0A=")</f>
        <v>#REF!</v>
      </c>
      <c r="BN67" t="e">
        <f>AND(#REF!,"AAAAAH7sL0E=")</f>
        <v>#REF!</v>
      </c>
      <c r="BO67" t="e">
        <f>AND(#REF!,"AAAAAH7sL0I=")</f>
        <v>#REF!</v>
      </c>
      <c r="BP67" t="e">
        <f>AND(#REF!,"AAAAAH7sL0M=")</f>
        <v>#REF!</v>
      </c>
      <c r="BQ67" t="e">
        <f>AND(#REF!,"AAAAAH7sL0Q=")</f>
        <v>#REF!</v>
      </c>
      <c r="BR67" t="e">
        <f>AND(#REF!,"AAAAAH7sL0U=")</f>
        <v>#REF!</v>
      </c>
      <c r="BS67" t="e">
        <f>AND(#REF!,"AAAAAH7sL0Y=")</f>
        <v>#REF!</v>
      </c>
      <c r="BT67" t="e">
        <f>AND(#REF!,"AAAAAH7sL0c=")</f>
        <v>#REF!</v>
      </c>
      <c r="BU67" t="e">
        <f>AND(#REF!,"AAAAAH7sL0g=")</f>
        <v>#REF!</v>
      </c>
      <c r="BV67" t="e">
        <f>AND(#REF!,"AAAAAH7sL0k=")</f>
        <v>#REF!</v>
      </c>
      <c r="BW67" t="e">
        <f>AND(#REF!,"AAAAAH7sL0o=")</f>
        <v>#REF!</v>
      </c>
      <c r="BX67" t="e">
        <f>IF(#REF!,"AAAAAH7sL0s=",0)</f>
        <v>#REF!</v>
      </c>
      <c r="BY67" t="e">
        <f>AND(#REF!,"AAAAAH7sL0w=")</f>
        <v>#REF!</v>
      </c>
      <c r="BZ67" t="e">
        <f>AND(#REF!,"AAAAAH7sL00=")</f>
        <v>#REF!</v>
      </c>
      <c r="CA67" t="e">
        <f>AND(#REF!,"AAAAAH7sL04=")</f>
        <v>#REF!</v>
      </c>
      <c r="CB67" t="e">
        <f>AND(#REF!,"AAAAAH7sL08=")</f>
        <v>#REF!</v>
      </c>
      <c r="CC67" t="e">
        <f>AND(#REF!,"AAAAAH7sL1A=")</f>
        <v>#REF!</v>
      </c>
      <c r="CD67" t="e">
        <f>AND(#REF!,"AAAAAH7sL1E=")</f>
        <v>#REF!</v>
      </c>
      <c r="CE67" t="e">
        <f>AND(#REF!,"AAAAAH7sL1I=")</f>
        <v>#REF!</v>
      </c>
      <c r="CF67" t="e">
        <f>AND(#REF!,"AAAAAH7sL1M=")</f>
        <v>#REF!</v>
      </c>
      <c r="CG67" t="e">
        <f>AND(#REF!,"AAAAAH7sL1Q=")</f>
        <v>#REF!</v>
      </c>
      <c r="CH67" t="e">
        <f>AND(#REF!,"AAAAAH7sL1U=")</f>
        <v>#REF!</v>
      </c>
      <c r="CI67" t="e">
        <f>AND(#REF!,"AAAAAH7sL1Y=")</f>
        <v>#REF!</v>
      </c>
      <c r="CJ67" t="e">
        <f>AND(#REF!,"AAAAAH7sL1c=")</f>
        <v>#REF!</v>
      </c>
      <c r="CK67" t="e">
        <f>AND(#REF!,"AAAAAH7sL1g=")</f>
        <v>#REF!</v>
      </c>
      <c r="CL67" t="e">
        <f>AND(#REF!,"AAAAAH7sL1k=")</f>
        <v>#REF!</v>
      </c>
      <c r="CM67" t="e">
        <f>IF(#REF!,"AAAAAH7sL1o=",0)</f>
        <v>#REF!</v>
      </c>
      <c r="CN67" t="e">
        <f>AND(#REF!,"AAAAAH7sL1s=")</f>
        <v>#REF!</v>
      </c>
      <c r="CO67" t="e">
        <f>AND(#REF!,"AAAAAH7sL1w=")</f>
        <v>#REF!</v>
      </c>
      <c r="CP67" t="e">
        <f>AND(#REF!,"AAAAAH7sL10=")</f>
        <v>#REF!</v>
      </c>
      <c r="CQ67" t="e">
        <f>AND(#REF!,"AAAAAH7sL14=")</f>
        <v>#REF!</v>
      </c>
      <c r="CR67" t="e">
        <f>AND(#REF!,"AAAAAH7sL18=")</f>
        <v>#REF!</v>
      </c>
      <c r="CS67" t="e">
        <f>AND(#REF!,"AAAAAH7sL2A=")</f>
        <v>#REF!</v>
      </c>
      <c r="CT67" t="e">
        <f>AND(#REF!,"AAAAAH7sL2E=")</f>
        <v>#REF!</v>
      </c>
      <c r="CU67" t="e">
        <f>AND(#REF!,"AAAAAH7sL2I=")</f>
        <v>#REF!</v>
      </c>
      <c r="CV67" t="e">
        <f>AND(#REF!,"AAAAAH7sL2M=")</f>
        <v>#REF!</v>
      </c>
      <c r="CW67" t="e">
        <f>AND(#REF!,"AAAAAH7sL2Q=")</f>
        <v>#REF!</v>
      </c>
      <c r="CX67" t="e">
        <f>AND(#REF!,"AAAAAH7sL2U=")</f>
        <v>#REF!</v>
      </c>
      <c r="CY67" t="e">
        <f>AND(#REF!,"AAAAAH7sL2Y=")</f>
        <v>#REF!</v>
      </c>
      <c r="CZ67" t="e">
        <f>AND(#REF!,"AAAAAH7sL2c=")</f>
        <v>#REF!</v>
      </c>
      <c r="DA67" t="e">
        <f>AND(#REF!,"AAAAAH7sL2g=")</f>
        <v>#REF!</v>
      </c>
      <c r="DB67" t="e">
        <f>IF(#REF!,"AAAAAH7sL2k=",0)</f>
        <v>#REF!</v>
      </c>
      <c r="DC67" t="e">
        <f>AND(#REF!,"AAAAAH7sL2o=")</f>
        <v>#REF!</v>
      </c>
      <c r="DD67" t="e">
        <f>AND(#REF!,"AAAAAH7sL2s=")</f>
        <v>#REF!</v>
      </c>
      <c r="DE67" t="e">
        <f>AND(#REF!,"AAAAAH7sL2w=")</f>
        <v>#REF!</v>
      </c>
      <c r="DF67" t="e">
        <f>AND(#REF!,"AAAAAH7sL20=")</f>
        <v>#REF!</v>
      </c>
      <c r="DG67" t="e">
        <f>AND(#REF!,"AAAAAH7sL24=")</f>
        <v>#REF!</v>
      </c>
      <c r="DH67" t="e">
        <f>AND(#REF!,"AAAAAH7sL28=")</f>
        <v>#REF!</v>
      </c>
      <c r="DI67" t="e">
        <f>AND(#REF!,"AAAAAH7sL3A=")</f>
        <v>#REF!</v>
      </c>
      <c r="DJ67" t="e">
        <f>AND(#REF!,"AAAAAH7sL3E=")</f>
        <v>#REF!</v>
      </c>
      <c r="DK67" t="e">
        <f>AND(#REF!,"AAAAAH7sL3I=")</f>
        <v>#REF!</v>
      </c>
      <c r="DL67" t="e">
        <f>AND(#REF!,"AAAAAH7sL3M=")</f>
        <v>#REF!</v>
      </c>
      <c r="DM67" t="e">
        <f>AND(#REF!,"AAAAAH7sL3Q=")</f>
        <v>#REF!</v>
      </c>
      <c r="DN67" t="e">
        <f>AND(#REF!,"AAAAAH7sL3U=")</f>
        <v>#REF!</v>
      </c>
      <c r="DO67" t="e">
        <f>AND(#REF!,"AAAAAH7sL3Y=")</f>
        <v>#REF!</v>
      </c>
      <c r="DP67" t="e">
        <f>AND(#REF!,"AAAAAH7sL3c=")</f>
        <v>#REF!</v>
      </c>
      <c r="DQ67" t="e">
        <f>IF(#REF!,"AAAAAH7sL3g=",0)</f>
        <v>#REF!</v>
      </c>
      <c r="DR67" t="e">
        <f>AND(#REF!,"AAAAAH7sL3k=")</f>
        <v>#REF!</v>
      </c>
      <c r="DS67" t="e">
        <f>AND(#REF!,"AAAAAH7sL3o=")</f>
        <v>#REF!</v>
      </c>
      <c r="DT67" t="e">
        <f>AND(#REF!,"AAAAAH7sL3s=")</f>
        <v>#REF!</v>
      </c>
      <c r="DU67" t="e">
        <f>AND(#REF!,"AAAAAH7sL3w=")</f>
        <v>#REF!</v>
      </c>
      <c r="DV67" t="e">
        <f>AND(#REF!,"AAAAAH7sL30=")</f>
        <v>#REF!</v>
      </c>
      <c r="DW67" t="e">
        <f>AND(#REF!,"AAAAAH7sL34=")</f>
        <v>#REF!</v>
      </c>
      <c r="DX67" t="e">
        <f>AND(#REF!,"AAAAAH7sL38=")</f>
        <v>#REF!</v>
      </c>
      <c r="DY67" t="e">
        <f>AND(#REF!,"AAAAAH7sL4A=")</f>
        <v>#REF!</v>
      </c>
      <c r="DZ67" t="e">
        <f>AND(#REF!,"AAAAAH7sL4E=")</f>
        <v>#REF!</v>
      </c>
      <c r="EA67" t="e">
        <f>AND(#REF!,"AAAAAH7sL4I=")</f>
        <v>#REF!</v>
      </c>
      <c r="EB67" t="e">
        <f>AND(#REF!,"AAAAAH7sL4M=")</f>
        <v>#REF!</v>
      </c>
      <c r="EC67" t="e">
        <f>AND(#REF!,"AAAAAH7sL4Q=")</f>
        <v>#REF!</v>
      </c>
      <c r="ED67" t="e">
        <f>AND(#REF!,"AAAAAH7sL4U=")</f>
        <v>#REF!</v>
      </c>
      <c r="EE67" t="e">
        <f>AND(#REF!,"AAAAAH7sL4Y=")</f>
        <v>#REF!</v>
      </c>
      <c r="EF67" t="e">
        <f>IF(#REF!,"AAAAAH7sL4c=",0)</f>
        <v>#REF!</v>
      </c>
      <c r="EG67" t="e">
        <f>AND(#REF!,"AAAAAH7sL4g=")</f>
        <v>#REF!</v>
      </c>
      <c r="EH67" t="e">
        <f>AND(#REF!,"AAAAAH7sL4k=")</f>
        <v>#REF!</v>
      </c>
      <c r="EI67" t="e">
        <f>AND(#REF!,"AAAAAH7sL4o=")</f>
        <v>#REF!</v>
      </c>
      <c r="EJ67" t="e">
        <f>AND(#REF!,"AAAAAH7sL4s=")</f>
        <v>#REF!</v>
      </c>
      <c r="EK67" t="e">
        <f>AND(#REF!,"AAAAAH7sL4w=")</f>
        <v>#REF!</v>
      </c>
      <c r="EL67" t="e">
        <f>AND(#REF!,"AAAAAH7sL40=")</f>
        <v>#REF!</v>
      </c>
      <c r="EM67" t="e">
        <f>AND(#REF!,"AAAAAH7sL44=")</f>
        <v>#REF!</v>
      </c>
      <c r="EN67" t="e">
        <f>AND(#REF!,"AAAAAH7sL48=")</f>
        <v>#REF!</v>
      </c>
      <c r="EO67" t="e">
        <f>AND(#REF!,"AAAAAH7sL5A=")</f>
        <v>#REF!</v>
      </c>
      <c r="EP67" t="e">
        <f>AND(#REF!,"AAAAAH7sL5E=")</f>
        <v>#REF!</v>
      </c>
      <c r="EQ67" t="e">
        <f>AND(#REF!,"AAAAAH7sL5I=")</f>
        <v>#REF!</v>
      </c>
      <c r="ER67" t="e">
        <f>AND(#REF!,"AAAAAH7sL5M=")</f>
        <v>#REF!</v>
      </c>
      <c r="ES67" t="e">
        <f>AND(#REF!,"AAAAAH7sL5Q=")</f>
        <v>#REF!</v>
      </c>
      <c r="ET67" t="e">
        <f>AND(#REF!,"AAAAAH7sL5U=")</f>
        <v>#REF!</v>
      </c>
      <c r="EU67" t="e">
        <f>IF(#REF!,"AAAAAH7sL5Y=",0)</f>
        <v>#REF!</v>
      </c>
      <c r="EV67" t="e">
        <f>AND(#REF!,"AAAAAH7sL5c=")</f>
        <v>#REF!</v>
      </c>
      <c r="EW67" t="e">
        <f>AND(#REF!,"AAAAAH7sL5g=")</f>
        <v>#REF!</v>
      </c>
      <c r="EX67" t="e">
        <f>AND(#REF!,"AAAAAH7sL5k=")</f>
        <v>#REF!</v>
      </c>
      <c r="EY67" t="e">
        <f>AND(#REF!,"AAAAAH7sL5o=")</f>
        <v>#REF!</v>
      </c>
      <c r="EZ67" t="e">
        <f>AND(#REF!,"AAAAAH7sL5s=")</f>
        <v>#REF!</v>
      </c>
      <c r="FA67" t="e">
        <f>AND(#REF!,"AAAAAH7sL5w=")</f>
        <v>#REF!</v>
      </c>
      <c r="FB67" t="e">
        <f>AND(#REF!,"AAAAAH7sL50=")</f>
        <v>#REF!</v>
      </c>
      <c r="FC67" t="e">
        <f>AND(#REF!,"AAAAAH7sL54=")</f>
        <v>#REF!</v>
      </c>
      <c r="FD67" t="e">
        <f>AND(#REF!,"AAAAAH7sL58=")</f>
        <v>#REF!</v>
      </c>
      <c r="FE67" t="e">
        <f>AND(#REF!,"AAAAAH7sL6A=")</f>
        <v>#REF!</v>
      </c>
      <c r="FF67" t="e">
        <f>AND(#REF!,"AAAAAH7sL6E=")</f>
        <v>#REF!</v>
      </c>
      <c r="FG67" t="e">
        <f>AND(#REF!,"AAAAAH7sL6I=")</f>
        <v>#REF!</v>
      </c>
      <c r="FH67" t="e">
        <f>AND(#REF!,"AAAAAH7sL6M=")</f>
        <v>#REF!</v>
      </c>
      <c r="FI67" t="e">
        <f>AND(#REF!,"AAAAAH7sL6Q=")</f>
        <v>#REF!</v>
      </c>
      <c r="FJ67" t="e">
        <f>IF(#REF!,"AAAAAH7sL6U=",0)</f>
        <v>#REF!</v>
      </c>
      <c r="FK67" t="e">
        <f>AND(#REF!,"AAAAAH7sL6Y=")</f>
        <v>#REF!</v>
      </c>
      <c r="FL67" t="e">
        <f>AND(#REF!,"AAAAAH7sL6c=")</f>
        <v>#REF!</v>
      </c>
      <c r="FM67" t="e">
        <f>AND(#REF!,"AAAAAH7sL6g=")</f>
        <v>#REF!</v>
      </c>
      <c r="FN67" t="e">
        <f>AND(#REF!,"AAAAAH7sL6k=")</f>
        <v>#REF!</v>
      </c>
      <c r="FO67" t="e">
        <f>AND(#REF!,"AAAAAH7sL6o=")</f>
        <v>#REF!</v>
      </c>
      <c r="FP67" t="e">
        <f>AND(#REF!,"AAAAAH7sL6s=")</f>
        <v>#REF!</v>
      </c>
      <c r="FQ67" t="e">
        <f>AND(#REF!,"AAAAAH7sL6w=")</f>
        <v>#REF!</v>
      </c>
      <c r="FR67" t="e">
        <f>AND(#REF!,"AAAAAH7sL60=")</f>
        <v>#REF!</v>
      </c>
      <c r="FS67" t="e">
        <f>AND(#REF!,"AAAAAH7sL64=")</f>
        <v>#REF!</v>
      </c>
      <c r="FT67" t="e">
        <f>AND(#REF!,"AAAAAH7sL68=")</f>
        <v>#REF!</v>
      </c>
      <c r="FU67" t="e">
        <f>AND(#REF!,"AAAAAH7sL7A=")</f>
        <v>#REF!</v>
      </c>
      <c r="FV67" t="e">
        <f>AND(#REF!,"AAAAAH7sL7E=")</f>
        <v>#REF!</v>
      </c>
      <c r="FW67" t="e">
        <f>AND(#REF!,"AAAAAH7sL7I=")</f>
        <v>#REF!</v>
      </c>
      <c r="FX67" t="e">
        <f>AND(#REF!,"AAAAAH7sL7M=")</f>
        <v>#REF!</v>
      </c>
      <c r="FY67" t="e">
        <f>IF(#REF!,"AAAAAH7sL7Q=",0)</f>
        <v>#REF!</v>
      </c>
      <c r="FZ67" t="e">
        <f>AND(#REF!,"AAAAAH7sL7U=")</f>
        <v>#REF!</v>
      </c>
      <c r="GA67" t="e">
        <f>AND(#REF!,"AAAAAH7sL7Y=")</f>
        <v>#REF!</v>
      </c>
      <c r="GB67" t="e">
        <f>AND(#REF!,"AAAAAH7sL7c=")</f>
        <v>#REF!</v>
      </c>
      <c r="GC67" t="e">
        <f>AND(#REF!,"AAAAAH7sL7g=")</f>
        <v>#REF!</v>
      </c>
      <c r="GD67" t="e">
        <f>AND(#REF!,"AAAAAH7sL7k=")</f>
        <v>#REF!</v>
      </c>
      <c r="GE67" t="e">
        <f>AND(#REF!,"AAAAAH7sL7o=")</f>
        <v>#REF!</v>
      </c>
      <c r="GF67" t="e">
        <f>AND(#REF!,"AAAAAH7sL7s=")</f>
        <v>#REF!</v>
      </c>
      <c r="GG67" t="e">
        <f>AND(#REF!,"AAAAAH7sL7w=")</f>
        <v>#REF!</v>
      </c>
      <c r="GH67" t="e">
        <f>AND(#REF!,"AAAAAH7sL70=")</f>
        <v>#REF!</v>
      </c>
      <c r="GI67" t="e">
        <f>AND(#REF!,"AAAAAH7sL74=")</f>
        <v>#REF!</v>
      </c>
      <c r="GJ67" t="e">
        <f>AND(#REF!,"AAAAAH7sL78=")</f>
        <v>#REF!</v>
      </c>
      <c r="GK67" t="e">
        <f>AND(#REF!,"AAAAAH7sL8A=")</f>
        <v>#REF!</v>
      </c>
      <c r="GL67" t="e">
        <f>AND(#REF!,"AAAAAH7sL8E=")</f>
        <v>#REF!</v>
      </c>
      <c r="GM67" t="e">
        <f>AND(#REF!,"AAAAAH7sL8I=")</f>
        <v>#REF!</v>
      </c>
      <c r="GN67" t="e">
        <f>IF(#REF!,"AAAAAH7sL8M=",0)</f>
        <v>#REF!</v>
      </c>
      <c r="GO67" t="e">
        <f>AND(#REF!,"AAAAAH7sL8Q=")</f>
        <v>#REF!</v>
      </c>
      <c r="GP67" t="e">
        <f>AND(#REF!,"AAAAAH7sL8U=")</f>
        <v>#REF!</v>
      </c>
      <c r="GQ67" t="e">
        <f>AND(#REF!,"AAAAAH7sL8Y=")</f>
        <v>#REF!</v>
      </c>
      <c r="GR67" t="e">
        <f>AND(#REF!,"AAAAAH7sL8c=")</f>
        <v>#REF!</v>
      </c>
      <c r="GS67" t="e">
        <f>AND(#REF!,"AAAAAH7sL8g=")</f>
        <v>#REF!</v>
      </c>
      <c r="GT67" t="e">
        <f>AND(#REF!,"AAAAAH7sL8k=")</f>
        <v>#REF!</v>
      </c>
      <c r="GU67" t="e">
        <f>AND(#REF!,"AAAAAH7sL8o=")</f>
        <v>#REF!</v>
      </c>
      <c r="GV67" t="e">
        <f>AND(#REF!,"AAAAAH7sL8s=")</f>
        <v>#REF!</v>
      </c>
      <c r="GW67" t="e">
        <f>AND(#REF!,"AAAAAH7sL8w=")</f>
        <v>#REF!</v>
      </c>
      <c r="GX67" t="e">
        <f>AND(#REF!,"AAAAAH7sL80=")</f>
        <v>#REF!</v>
      </c>
      <c r="GY67" t="e">
        <f>AND(#REF!,"AAAAAH7sL84=")</f>
        <v>#REF!</v>
      </c>
      <c r="GZ67" t="e">
        <f>AND(#REF!,"AAAAAH7sL88=")</f>
        <v>#REF!</v>
      </c>
      <c r="HA67" t="e">
        <f>AND(#REF!,"AAAAAH7sL9A=")</f>
        <v>#REF!</v>
      </c>
      <c r="HB67" t="e">
        <f>AND(#REF!,"AAAAAH7sL9E=")</f>
        <v>#REF!</v>
      </c>
      <c r="HC67" t="e">
        <f>IF(#REF!,"AAAAAH7sL9I=",0)</f>
        <v>#REF!</v>
      </c>
      <c r="HD67" t="e">
        <f>AND(#REF!,"AAAAAH7sL9M=")</f>
        <v>#REF!</v>
      </c>
      <c r="HE67" t="e">
        <f>AND(#REF!,"AAAAAH7sL9Q=")</f>
        <v>#REF!</v>
      </c>
      <c r="HF67" t="e">
        <f>AND(#REF!,"AAAAAH7sL9U=")</f>
        <v>#REF!</v>
      </c>
      <c r="HG67" t="e">
        <f>AND(#REF!,"AAAAAH7sL9Y=")</f>
        <v>#REF!</v>
      </c>
      <c r="HH67" t="e">
        <f>AND(#REF!,"AAAAAH7sL9c=")</f>
        <v>#REF!</v>
      </c>
      <c r="HI67" t="e">
        <f>AND(#REF!,"AAAAAH7sL9g=")</f>
        <v>#REF!</v>
      </c>
      <c r="HJ67" t="e">
        <f>AND(#REF!,"AAAAAH7sL9k=")</f>
        <v>#REF!</v>
      </c>
      <c r="HK67" t="e">
        <f>AND(#REF!,"AAAAAH7sL9o=")</f>
        <v>#REF!</v>
      </c>
      <c r="HL67" t="e">
        <f>AND(#REF!,"AAAAAH7sL9s=")</f>
        <v>#REF!</v>
      </c>
      <c r="HM67" t="e">
        <f>AND(#REF!,"AAAAAH7sL9w=")</f>
        <v>#REF!</v>
      </c>
      <c r="HN67" t="e">
        <f>AND(#REF!,"AAAAAH7sL90=")</f>
        <v>#REF!</v>
      </c>
      <c r="HO67" t="e">
        <f>AND(#REF!,"AAAAAH7sL94=")</f>
        <v>#REF!</v>
      </c>
      <c r="HP67" t="e">
        <f>AND(#REF!,"AAAAAH7sL98=")</f>
        <v>#REF!</v>
      </c>
      <c r="HQ67" t="e">
        <f>AND(#REF!,"AAAAAH7sL+A=")</f>
        <v>#REF!</v>
      </c>
      <c r="HR67" t="e">
        <f>IF(#REF!,"AAAAAH7sL+E=",0)</f>
        <v>#REF!</v>
      </c>
      <c r="HS67" t="e">
        <f>AND(#REF!,"AAAAAH7sL+I=")</f>
        <v>#REF!</v>
      </c>
      <c r="HT67" t="e">
        <f>AND(#REF!,"AAAAAH7sL+M=")</f>
        <v>#REF!</v>
      </c>
      <c r="HU67" t="e">
        <f>AND(#REF!,"AAAAAH7sL+Q=")</f>
        <v>#REF!</v>
      </c>
      <c r="HV67" t="e">
        <f>AND(#REF!,"AAAAAH7sL+U=")</f>
        <v>#REF!</v>
      </c>
      <c r="HW67" t="e">
        <f>AND(#REF!,"AAAAAH7sL+Y=")</f>
        <v>#REF!</v>
      </c>
      <c r="HX67" t="e">
        <f>AND(#REF!,"AAAAAH7sL+c=")</f>
        <v>#REF!</v>
      </c>
      <c r="HY67" t="e">
        <f>AND(#REF!,"AAAAAH7sL+g=")</f>
        <v>#REF!</v>
      </c>
      <c r="HZ67" t="e">
        <f>AND(#REF!,"AAAAAH7sL+k=")</f>
        <v>#REF!</v>
      </c>
      <c r="IA67" t="e">
        <f>AND(#REF!,"AAAAAH7sL+o=")</f>
        <v>#REF!</v>
      </c>
      <c r="IB67" t="e">
        <f>AND(#REF!,"AAAAAH7sL+s=")</f>
        <v>#REF!</v>
      </c>
      <c r="IC67" t="e">
        <f>AND(#REF!,"AAAAAH7sL+w=")</f>
        <v>#REF!</v>
      </c>
      <c r="ID67" t="e">
        <f>AND(#REF!,"AAAAAH7sL+0=")</f>
        <v>#REF!</v>
      </c>
      <c r="IE67" t="e">
        <f>AND(#REF!,"AAAAAH7sL+4=")</f>
        <v>#REF!</v>
      </c>
      <c r="IF67" t="e">
        <f>AND(#REF!,"AAAAAH7sL+8=")</f>
        <v>#REF!</v>
      </c>
      <c r="IG67" t="e">
        <f>IF(#REF!,"AAAAAH7sL/A=",0)</f>
        <v>#REF!</v>
      </c>
      <c r="IH67" t="e">
        <f>AND(#REF!,"AAAAAH7sL/E=")</f>
        <v>#REF!</v>
      </c>
      <c r="II67" t="e">
        <f>AND(#REF!,"AAAAAH7sL/I=")</f>
        <v>#REF!</v>
      </c>
      <c r="IJ67" t="e">
        <f>AND(#REF!,"AAAAAH7sL/M=")</f>
        <v>#REF!</v>
      </c>
      <c r="IK67" t="e">
        <f>AND(#REF!,"AAAAAH7sL/Q=")</f>
        <v>#REF!</v>
      </c>
      <c r="IL67" t="e">
        <f>AND(#REF!,"AAAAAH7sL/U=")</f>
        <v>#REF!</v>
      </c>
      <c r="IM67" t="e">
        <f>AND(#REF!,"AAAAAH7sL/Y=")</f>
        <v>#REF!</v>
      </c>
      <c r="IN67" t="e">
        <f>AND(#REF!,"AAAAAH7sL/c=")</f>
        <v>#REF!</v>
      </c>
      <c r="IO67" t="e">
        <f>AND(#REF!,"AAAAAH7sL/g=")</f>
        <v>#REF!</v>
      </c>
      <c r="IP67" t="e">
        <f>AND(#REF!,"AAAAAH7sL/k=")</f>
        <v>#REF!</v>
      </c>
      <c r="IQ67" t="e">
        <f>AND(#REF!,"AAAAAH7sL/o=")</f>
        <v>#REF!</v>
      </c>
      <c r="IR67" t="e">
        <f>AND(#REF!,"AAAAAH7sL/s=")</f>
        <v>#REF!</v>
      </c>
      <c r="IS67" t="e">
        <f>AND(#REF!,"AAAAAH7sL/w=")</f>
        <v>#REF!</v>
      </c>
      <c r="IT67" t="e">
        <f>AND(#REF!,"AAAAAH7sL/0=")</f>
        <v>#REF!</v>
      </c>
      <c r="IU67" t="e">
        <f>AND(#REF!,"AAAAAH7sL/4=")</f>
        <v>#REF!</v>
      </c>
      <c r="IV67" t="e">
        <f>IF(#REF!,"AAAAAH7sL/8=",0)</f>
        <v>#REF!</v>
      </c>
    </row>
    <row r="68" spans="1:256" x14ac:dyDescent="0.15">
      <c r="A68" t="e">
        <f>AND(#REF!,"AAAAADzfDgA=")</f>
        <v>#REF!</v>
      </c>
      <c r="B68" t="e">
        <f>AND(#REF!,"AAAAADzfDgE=")</f>
        <v>#REF!</v>
      </c>
      <c r="C68" t="e">
        <f>AND(#REF!,"AAAAADzfDgI=")</f>
        <v>#REF!</v>
      </c>
      <c r="D68" t="e">
        <f>AND(#REF!,"AAAAADzfDgM=")</f>
        <v>#REF!</v>
      </c>
      <c r="E68" t="e">
        <f>AND(#REF!,"AAAAADzfDgQ=")</f>
        <v>#REF!</v>
      </c>
      <c r="F68" t="e">
        <f>AND(#REF!,"AAAAADzfDgU=")</f>
        <v>#REF!</v>
      </c>
      <c r="G68" t="e">
        <f>AND(#REF!,"AAAAADzfDgY=")</f>
        <v>#REF!</v>
      </c>
      <c r="H68" t="e">
        <f>AND(#REF!,"AAAAADzfDgc=")</f>
        <v>#REF!</v>
      </c>
      <c r="I68" t="e">
        <f>AND(#REF!,"AAAAADzfDgg=")</f>
        <v>#REF!</v>
      </c>
      <c r="J68" t="e">
        <f>AND(#REF!,"AAAAADzfDgk=")</f>
        <v>#REF!</v>
      </c>
      <c r="K68" t="e">
        <f>AND(#REF!,"AAAAADzfDgo=")</f>
        <v>#REF!</v>
      </c>
      <c r="L68" t="e">
        <f>AND(#REF!,"AAAAADzfDgs=")</f>
        <v>#REF!</v>
      </c>
      <c r="M68" t="e">
        <f>AND(#REF!,"AAAAADzfDgw=")</f>
        <v>#REF!</v>
      </c>
      <c r="N68" t="e">
        <f>AND(#REF!,"AAAAADzfDg0=")</f>
        <v>#REF!</v>
      </c>
      <c r="O68" t="e">
        <f>IF(#REF!,"AAAAADzfDg4=",0)</f>
        <v>#REF!</v>
      </c>
      <c r="P68" t="e">
        <f>AND(#REF!,"AAAAADzfDg8=")</f>
        <v>#REF!</v>
      </c>
      <c r="Q68" t="e">
        <f>AND(#REF!,"AAAAADzfDhA=")</f>
        <v>#REF!</v>
      </c>
      <c r="R68" t="e">
        <f>AND(#REF!,"AAAAADzfDhE=")</f>
        <v>#REF!</v>
      </c>
      <c r="S68" t="e">
        <f>AND(#REF!,"AAAAADzfDhI=")</f>
        <v>#REF!</v>
      </c>
      <c r="T68" t="e">
        <f>AND(#REF!,"AAAAADzfDhM=")</f>
        <v>#REF!</v>
      </c>
      <c r="U68" t="e">
        <f>AND(#REF!,"AAAAADzfDhQ=")</f>
        <v>#REF!</v>
      </c>
      <c r="V68" t="e">
        <f>AND(#REF!,"AAAAADzfDhU=")</f>
        <v>#REF!</v>
      </c>
      <c r="W68" t="e">
        <f>AND(#REF!,"AAAAADzfDhY=")</f>
        <v>#REF!</v>
      </c>
      <c r="X68" t="e">
        <f>AND(#REF!,"AAAAADzfDhc=")</f>
        <v>#REF!</v>
      </c>
      <c r="Y68" t="e">
        <f>AND(#REF!,"AAAAADzfDhg=")</f>
        <v>#REF!</v>
      </c>
      <c r="Z68" t="e">
        <f>AND(#REF!,"AAAAADzfDhk=")</f>
        <v>#REF!</v>
      </c>
      <c r="AA68" t="e">
        <f>AND(#REF!,"AAAAADzfDho=")</f>
        <v>#REF!</v>
      </c>
      <c r="AB68" t="e">
        <f>AND(#REF!,"AAAAADzfDhs=")</f>
        <v>#REF!</v>
      </c>
      <c r="AC68" t="e">
        <f>AND(#REF!,"AAAAADzfDhw=")</f>
        <v>#REF!</v>
      </c>
      <c r="AD68" t="e">
        <f>IF(#REF!,"AAAAADzfDh0=",0)</f>
        <v>#REF!</v>
      </c>
      <c r="AE68" t="e">
        <f>AND(#REF!,"AAAAADzfDh4=")</f>
        <v>#REF!</v>
      </c>
      <c r="AF68" t="e">
        <f>AND(#REF!,"AAAAADzfDh8=")</f>
        <v>#REF!</v>
      </c>
      <c r="AG68" t="e">
        <f>AND(#REF!,"AAAAADzfDiA=")</f>
        <v>#REF!</v>
      </c>
      <c r="AH68" t="e">
        <f>AND(#REF!,"AAAAADzfDiE=")</f>
        <v>#REF!</v>
      </c>
      <c r="AI68" t="e">
        <f>AND(#REF!,"AAAAADzfDiI=")</f>
        <v>#REF!</v>
      </c>
      <c r="AJ68" t="e">
        <f>AND(#REF!,"AAAAADzfDiM=")</f>
        <v>#REF!</v>
      </c>
      <c r="AK68" t="e">
        <f>AND(#REF!,"AAAAADzfDiQ=")</f>
        <v>#REF!</v>
      </c>
      <c r="AL68" t="e">
        <f>AND(#REF!,"AAAAADzfDiU=")</f>
        <v>#REF!</v>
      </c>
      <c r="AM68" t="e">
        <f>AND(#REF!,"AAAAADzfDiY=")</f>
        <v>#REF!</v>
      </c>
      <c r="AN68" t="e">
        <f>AND(#REF!,"AAAAADzfDic=")</f>
        <v>#REF!</v>
      </c>
      <c r="AO68" t="e">
        <f>AND(#REF!,"AAAAADzfDig=")</f>
        <v>#REF!</v>
      </c>
      <c r="AP68" t="e">
        <f>AND(#REF!,"AAAAADzfDik=")</f>
        <v>#REF!</v>
      </c>
      <c r="AQ68" t="e">
        <f>AND(#REF!,"AAAAADzfDio=")</f>
        <v>#REF!</v>
      </c>
      <c r="AR68" t="e">
        <f>AND(#REF!,"AAAAADzfDis=")</f>
        <v>#REF!</v>
      </c>
      <c r="AS68" t="e">
        <f>IF(#REF!,"AAAAADzfDiw=",0)</f>
        <v>#REF!</v>
      </c>
      <c r="AT68" t="e">
        <f>AND(#REF!,"AAAAADzfDi0=")</f>
        <v>#REF!</v>
      </c>
      <c r="AU68" t="e">
        <f>AND(#REF!,"AAAAADzfDi4=")</f>
        <v>#REF!</v>
      </c>
      <c r="AV68" t="e">
        <f>AND(#REF!,"AAAAADzfDi8=")</f>
        <v>#REF!</v>
      </c>
      <c r="AW68" t="e">
        <f>AND(#REF!,"AAAAADzfDjA=")</f>
        <v>#REF!</v>
      </c>
      <c r="AX68" t="e">
        <f>AND(#REF!,"AAAAADzfDjE=")</f>
        <v>#REF!</v>
      </c>
      <c r="AY68" t="e">
        <f>AND(#REF!,"AAAAADzfDjI=")</f>
        <v>#REF!</v>
      </c>
      <c r="AZ68" t="e">
        <f>AND(#REF!,"AAAAADzfDjM=")</f>
        <v>#REF!</v>
      </c>
      <c r="BA68" t="e">
        <f>AND(#REF!,"AAAAADzfDjQ=")</f>
        <v>#REF!</v>
      </c>
      <c r="BB68" t="e">
        <f>AND(#REF!,"AAAAADzfDjU=")</f>
        <v>#REF!</v>
      </c>
      <c r="BC68" t="e">
        <f>AND(#REF!,"AAAAADzfDjY=")</f>
        <v>#REF!</v>
      </c>
      <c r="BD68" t="e">
        <f>AND(#REF!,"AAAAADzfDjc=")</f>
        <v>#REF!</v>
      </c>
      <c r="BE68" t="e">
        <f>AND(#REF!,"AAAAADzfDjg=")</f>
        <v>#REF!</v>
      </c>
      <c r="BF68" t="e">
        <f>AND(#REF!,"AAAAADzfDjk=")</f>
        <v>#REF!</v>
      </c>
      <c r="BG68" t="e">
        <f>AND(#REF!,"AAAAADzfDjo=")</f>
        <v>#REF!</v>
      </c>
      <c r="BH68" t="e">
        <f>IF(#REF!,"AAAAADzfDjs=",0)</f>
        <v>#REF!</v>
      </c>
      <c r="BI68" t="e">
        <f>AND(#REF!,"AAAAADzfDjw=")</f>
        <v>#REF!</v>
      </c>
      <c r="BJ68" t="e">
        <f>AND(#REF!,"AAAAADzfDj0=")</f>
        <v>#REF!</v>
      </c>
      <c r="BK68" t="e">
        <f>AND(#REF!,"AAAAADzfDj4=")</f>
        <v>#REF!</v>
      </c>
      <c r="BL68" t="e">
        <f>AND(#REF!,"AAAAADzfDj8=")</f>
        <v>#REF!</v>
      </c>
      <c r="BM68" t="e">
        <f>AND(#REF!,"AAAAADzfDkA=")</f>
        <v>#REF!</v>
      </c>
      <c r="BN68" t="e">
        <f>AND(#REF!,"AAAAADzfDkE=")</f>
        <v>#REF!</v>
      </c>
      <c r="BO68" t="e">
        <f>AND(#REF!,"AAAAADzfDkI=")</f>
        <v>#REF!</v>
      </c>
      <c r="BP68" t="e">
        <f>AND(#REF!,"AAAAADzfDkM=")</f>
        <v>#REF!</v>
      </c>
      <c r="BQ68" t="e">
        <f>AND(#REF!,"AAAAADzfDkQ=")</f>
        <v>#REF!</v>
      </c>
      <c r="BR68" t="e">
        <f>AND(#REF!,"AAAAADzfDkU=")</f>
        <v>#REF!</v>
      </c>
      <c r="BS68" t="e">
        <f>AND(#REF!,"AAAAADzfDkY=")</f>
        <v>#REF!</v>
      </c>
      <c r="BT68" t="e">
        <f>AND(#REF!,"AAAAADzfDkc=")</f>
        <v>#REF!</v>
      </c>
      <c r="BU68" t="e">
        <f>AND(#REF!,"AAAAADzfDkg=")</f>
        <v>#REF!</v>
      </c>
      <c r="BV68" t="e">
        <f>AND(#REF!,"AAAAADzfDkk=")</f>
        <v>#REF!</v>
      </c>
      <c r="BW68" t="e">
        <f>IF(#REF!,"AAAAADzfDko=",0)</f>
        <v>#REF!</v>
      </c>
      <c r="BX68" t="e">
        <f>AND(#REF!,"AAAAADzfDks=")</f>
        <v>#REF!</v>
      </c>
      <c r="BY68" t="e">
        <f>AND(#REF!,"AAAAADzfDkw=")</f>
        <v>#REF!</v>
      </c>
      <c r="BZ68" t="e">
        <f>AND(#REF!,"AAAAADzfDk0=")</f>
        <v>#REF!</v>
      </c>
      <c r="CA68" t="e">
        <f>AND(#REF!,"AAAAADzfDk4=")</f>
        <v>#REF!</v>
      </c>
      <c r="CB68" t="e">
        <f>AND(#REF!,"AAAAADzfDk8=")</f>
        <v>#REF!</v>
      </c>
      <c r="CC68" t="e">
        <f>AND(#REF!,"AAAAADzfDlA=")</f>
        <v>#REF!</v>
      </c>
      <c r="CD68" t="e">
        <f>AND(#REF!,"AAAAADzfDlE=")</f>
        <v>#REF!</v>
      </c>
      <c r="CE68" t="e">
        <f>AND(#REF!,"AAAAADzfDlI=")</f>
        <v>#REF!</v>
      </c>
      <c r="CF68" t="e">
        <f>AND(#REF!,"AAAAADzfDlM=")</f>
        <v>#REF!</v>
      </c>
      <c r="CG68" t="e">
        <f>AND(#REF!,"AAAAADzfDlQ=")</f>
        <v>#REF!</v>
      </c>
      <c r="CH68" t="e">
        <f>AND(#REF!,"AAAAADzfDlU=")</f>
        <v>#REF!</v>
      </c>
      <c r="CI68" t="e">
        <f>AND(#REF!,"AAAAADzfDlY=")</f>
        <v>#REF!</v>
      </c>
      <c r="CJ68" t="e">
        <f>AND(#REF!,"AAAAADzfDlc=")</f>
        <v>#REF!</v>
      </c>
      <c r="CK68" t="e">
        <f>AND(#REF!,"AAAAADzfDlg=")</f>
        <v>#REF!</v>
      </c>
      <c r="CL68" t="e">
        <f>IF(#REF!,"AAAAADzfDlk=",0)</f>
        <v>#REF!</v>
      </c>
      <c r="CM68" t="e">
        <f>AND(#REF!,"AAAAADzfDlo=")</f>
        <v>#REF!</v>
      </c>
      <c r="CN68" t="e">
        <f>AND(#REF!,"AAAAADzfDls=")</f>
        <v>#REF!</v>
      </c>
      <c r="CO68" t="e">
        <f>AND(#REF!,"AAAAADzfDlw=")</f>
        <v>#REF!</v>
      </c>
      <c r="CP68" t="e">
        <f>AND(#REF!,"AAAAADzfDl0=")</f>
        <v>#REF!</v>
      </c>
      <c r="CQ68" t="e">
        <f>AND(#REF!,"AAAAADzfDl4=")</f>
        <v>#REF!</v>
      </c>
      <c r="CR68" t="e">
        <f>AND(#REF!,"AAAAADzfDl8=")</f>
        <v>#REF!</v>
      </c>
      <c r="CS68" t="e">
        <f>AND(#REF!,"AAAAADzfDmA=")</f>
        <v>#REF!</v>
      </c>
      <c r="CT68" t="e">
        <f>AND(#REF!,"AAAAADzfDmE=")</f>
        <v>#REF!</v>
      </c>
      <c r="CU68" t="e">
        <f>AND(#REF!,"AAAAADzfDmI=")</f>
        <v>#REF!</v>
      </c>
      <c r="CV68" t="e">
        <f>AND(#REF!,"AAAAADzfDmM=")</f>
        <v>#REF!</v>
      </c>
      <c r="CW68" t="e">
        <f>AND(#REF!,"AAAAADzfDmQ=")</f>
        <v>#REF!</v>
      </c>
      <c r="CX68" t="e">
        <f>AND(#REF!,"AAAAADzfDmU=")</f>
        <v>#REF!</v>
      </c>
      <c r="CY68" t="e">
        <f>AND(#REF!,"AAAAADzfDmY=")</f>
        <v>#REF!</v>
      </c>
      <c r="CZ68" t="e">
        <f>AND(#REF!,"AAAAADzfDmc=")</f>
        <v>#REF!</v>
      </c>
      <c r="DA68" t="e">
        <f>IF(#REF!,"AAAAADzfDmg=",0)</f>
        <v>#REF!</v>
      </c>
      <c r="DB68" t="e">
        <f>AND(#REF!,"AAAAADzfDmk=")</f>
        <v>#REF!</v>
      </c>
      <c r="DC68" t="e">
        <f>AND(#REF!,"AAAAADzfDmo=")</f>
        <v>#REF!</v>
      </c>
      <c r="DD68" t="e">
        <f>AND(#REF!,"AAAAADzfDms=")</f>
        <v>#REF!</v>
      </c>
      <c r="DE68" t="e">
        <f>AND(#REF!,"AAAAADzfDmw=")</f>
        <v>#REF!</v>
      </c>
      <c r="DF68" t="e">
        <f>AND(#REF!,"AAAAADzfDm0=")</f>
        <v>#REF!</v>
      </c>
      <c r="DG68" t="e">
        <f>AND(#REF!,"AAAAADzfDm4=")</f>
        <v>#REF!</v>
      </c>
      <c r="DH68" t="e">
        <f>AND(#REF!,"AAAAADzfDm8=")</f>
        <v>#REF!</v>
      </c>
      <c r="DI68" t="e">
        <f>AND(#REF!,"AAAAADzfDnA=")</f>
        <v>#REF!</v>
      </c>
      <c r="DJ68" t="e">
        <f>AND(#REF!,"AAAAADzfDnE=")</f>
        <v>#REF!</v>
      </c>
      <c r="DK68" t="e">
        <f>AND(#REF!,"AAAAADzfDnI=")</f>
        <v>#REF!</v>
      </c>
      <c r="DL68" t="e">
        <f>AND(#REF!,"AAAAADzfDnM=")</f>
        <v>#REF!</v>
      </c>
      <c r="DM68" t="e">
        <f>AND(#REF!,"AAAAADzfDnQ=")</f>
        <v>#REF!</v>
      </c>
      <c r="DN68" t="e">
        <f>AND(#REF!,"AAAAADzfDnU=")</f>
        <v>#REF!</v>
      </c>
      <c r="DO68" t="e">
        <f>AND(#REF!,"AAAAADzfDnY=")</f>
        <v>#REF!</v>
      </c>
      <c r="DP68" t="e">
        <f>IF(#REF!,"AAAAADzfDnc=",0)</f>
        <v>#REF!</v>
      </c>
      <c r="DQ68" t="e">
        <f>AND(#REF!,"AAAAADzfDng=")</f>
        <v>#REF!</v>
      </c>
      <c r="DR68" t="e">
        <f>AND(#REF!,"AAAAADzfDnk=")</f>
        <v>#REF!</v>
      </c>
      <c r="DS68" t="e">
        <f>AND(#REF!,"AAAAADzfDno=")</f>
        <v>#REF!</v>
      </c>
      <c r="DT68" t="e">
        <f>AND(#REF!,"AAAAADzfDns=")</f>
        <v>#REF!</v>
      </c>
      <c r="DU68" t="e">
        <f>AND(#REF!,"AAAAADzfDnw=")</f>
        <v>#REF!</v>
      </c>
      <c r="DV68" t="e">
        <f>AND(#REF!,"AAAAADzfDn0=")</f>
        <v>#REF!</v>
      </c>
      <c r="DW68" t="e">
        <f>AND(#REF!,"AAAAADzfDn4=")</f>
        <v>#REF!</v>
      </c>
      <c r="DX68" t="e">
        <f>AND(#REF!,"AAAAADzfDn8=")</f>
        <v>#REF!</v>
      </c>
      <c r="DY68" t="e">
        <f>AND(#REF!,"AAAAADzfDoA=")</f>
        <v>#REF!</v>
      </c>
      <c r="DZ68" t="e">
        <f>AND(#REF!,"AAAAADzfDoE=")</f>
        <v>#REF!</v>
      </c>
      <c r="EA68" t="e">
        <f>AND(#REF!,"AAAAADzfDoI=")</f>
        <v>#REF!</v>
      </c>
      <c r="EB68" t="e">
        <f>AND(#REF!,"AAAAADzfDoM=")</f>
        <v>#REF!</v>
      </c>
      <c r="EC68" t="e">
        <f>AND(#REF!,"AAAAADzfDoQ=")</f>
        <v>#REF!</v>
      </c>
      <c r="ED68" t="e">
        <f>AND(#REF!,"AAAAADzfDoU=")</f>
        <v>#REF!</v>
      </c>
      <c r="EE68" t="e">
        <f>IF(#REF!,"AAAAADzfDoY=",0)</f>
        <v>#REF!</v>
      </c>
      <c r="EF68" t="e">
        <f>AND(#REF!,"AAAAADzfDoc=")</f>
        <v>#REF!</v>
      </c>
      <c r="EG68" t="e">
        <f>AND(#REF!,"AAAAADzfDog=")</f>
        <v>#REF!</v>
      </c>
      <c r="EH68" t="e">
        <f>AND(#REF!,"AAAAADzfDok=")</f>
        <v>#REF!</v>
      </c>
      <c r="EI68" t="e">
        <f>AND(#REF!,"AAAAADzfDoo=")</f>
        <v>#REF!</v>
      </c>
      <c r="EJ68" t="e">
        <f>AND(#REF!,"AAAAADzfDos=")</f>
        <v>#REF!</v>
      </c>
      <c r="EK68" t="e">
        <f>AND(#REF!,"AAAAADzfDow=")</f>
        <v>#REF!</v>
      </c>
      <c r="EL68" t="e">
        <f>AND(#REF!,"AAAAADzfDo0=")</f>
        <v>#REF!</v>
      </c>
      <c r="EM68" t="e">
        <f>AND(#REF!,"AAAAADzfDo4=")</f>
        <v>#REF!</v>
      </c>
      <c r="EN68" t="e">
        <f>AND(#REF!,"AAAAADzfDo8=")</f>
        <v>#REF!</v>
      </c>
      <c r="EO68" t="e">
        <f>AND(#REF!,"AAAAADzfDpA=")</f>
        <v>#REF!</v>
      </c>
      <c r="EP68" t="e">
        <f>AND(#REF!,"AAAAADzfDpE=")</f>
        <v>#REF!</v>
      </c>
      <c r="EQ68" t="e">
        <f>AND(#REF!,"AAAAADzfDpI=")</f>
        <v>#REF!</v>
      </c>
      <c r="ER68" t="e">
        <f>AND(#REF!,"AAAAADzfDpM=")</f>
        <v>#REF!</v>
      </c>
      <c r="ES68" t="e">
        <f>AND(#REF!,"AAAAADzfDpQ=")</f>
        <v>#REF!</v>
      </c>
      <c r="ET68" t="e">
        <f>IF(#REF!,"AAAAADzfDpU=",0)</f>
        <v>#REF!</v>
      </c>
      <c r="EU68" t="e">
        <f>AND(#REF!,"AAAAADzfDpY=")</f>
        <v>#REF!</v>
      </c>
      <c r="EV68" t="e">
        <f>AND(#REF!,"AAAAADzfDpc=")</f>
        <v>#REF!</v>
      </c>
      <c r="EW68" t="e">
        <f>AND(#REF!,"AAAAADzfDpg=")</f>
        <v>#REF!</v>
      </c>
      <c r="EX68" t="e">
        <f>AND(#REF!,"AAAAADzfDpk=")</f>
        <v>#REF!</v>
      </c>
      <c r="EY68" t="e">
        <f>AND(#REF!,"AAAAADzfDpo=")</f>
        <v>#REF!</v>
      </c>
      <c r="EZ68" t="e">
        <f>AND(#REF!,"AAAAADzfDps=")</f>
        <v>#REF!</v>
      </c>
      <c r="FA68" t="e">
        <f>AND(#REF!,"AAAAADzfDpw=")</f>
        <v>#REF!</v>
      </c>
      <c r="FB68" t="e">
        <f>AND(#REF!,"AAAAADzfDp0=")</f>
        <v>#REF!</v>
      </c>
      <c r="FC68" t="e">
        <f>AND(#REF!,"AAAAADzfDp4=")</f>
        <v>#REF!</v>
      </c>
      <c r="FD68" t="e">
        <f>AND(#REF!,"AAAAADzfDp8=")</f>
        <v>#REF!</v>
      </c>
      <c r="FE68" t="e">
        <f>AND(#REF!,"AAAAADzfDqA=")</f>
        <v>#REF!</v>
      </c>
      <c r="FF68" t="e">
        <f>AND(#REF!,"AAAAADzfDqE=")</f>
        <v>#REF!</v>
      </c>
      <c r="FG68" t="e">
        <f>AND(#REF!,"AAAAADzfDqI=")</f>
        <v>#REF!</v>
      </c>
      <c r="FH68" t="e">
        <f>AND(#REF!,"AAAAADzfDqM=")</f>
        <v>#REF!</v>
      </c>
      <c r="FI68" t="e">
        <f>IF(#REF!,"AAAAADzfDqQ=",0)</f>
        <v>#REF!</v>
      </c>
      <c r="FJ68" t="e">
        <f>AND(#REF!,"AAAAADzfDqU=")</f>
        <v>#REF!</v>
      </c>
      <c r="FK68" t="e">
        <f>AND(#REF!,"AAAAADzfDqY=")</f>
        <v>#REF!</v>
      </c>
      <c r="FL68" t="e">
        <f>AND(#REF!,"AAAAADzfDqc=")</f>
        <v>#REF!</v>
      </c>
      <c r="FM68" t="e">
        <f>AND(#REF!,"AAAAADzfDqg=")</f>
        <v>#REF!</v>
      </c>
      <c r="FN68" t="e">
        <f>AND(#REF!,"AAAAADzfDqk=")</f>
        <v>#REF!</v>
      </c>
      <c r="FO68" t="e">
        <f>AND(#REF!,"AAAAADzfDqo=")</f>
        <v>#REF!</v>
      </c>
      <c r="FP68" t="e">
        <f>AND(#REF!,"AAAAADzfDqs=")</f>
        <v>#REF!</v>
      </c>
      <c r="FQ68" t="e">
        <f>AND(#REF!,"AAAAADzfDqw=")</f>
        <v>#REF!</v>
      </c>
      <c r="FR68" t="e">
        <f>AND(#REF!,"AAAAADzfDq0=")</f>
        <v>#REF!</v>
      </c>
      <c r="FS68" t="e">
        <f>AND(#REF!,"AAAAADzfDq4=")</f>
        <v>#REF!</v>
      </c>
      <c r="FT68" t="e">
        <f>AND(#REF!,"AAAAADzfDq8=")</f>
        <v>#REF!</v>
      </c>
      <c r="FU68" t="e">
        <f>AND(#REF!,"AAAAADzfDrA=")</f>
        <v>#REF!</v>
      </c>
      <c r="FV68" t="e">
        <f>AND(#REF!,"AAAAADzfDrE=")</f>
        <v>#REF!</v>
      </c>
      <c r="FW68" t="e">
        <f>AND(#REF!,"AAAAADzfDrI=")</f>
        <v>#REF!</v>
      </c>
      <c r="FX68" t="e">
        <f>IF(#REF!,"AAAAADzfDrM=",0)</f>
        <v>#REF!</v>
      </c>
      <c r="FY68" t="e">
        <f>AND(#REF!,"AAAAADzfDrQ=")</f>
        <v>#REF!</v>
      </c>
      <c r="FZ68" t="e">
        <f>AND(#REF!,"AAAAADzfDrU=")</f>
        <v>#REF!</v>
      </c>
      <c r="GA68" t="e">
        <f>AND(#REF!,"AAAAADzfDrY=")</f>
        <v>#REF!</v>
      </c>
      <c r="GB68" t="e">
        <f>AND(#REF!,"AAAAADzfDrc=")</f>
        <v>#REF!</v>
      </c>
      <c r="GC68" t="e">
        <f>AND(#REF!,"AAAAADzfDrg=")</f>
        <v>#REF!</v>
      </c>
      <c r="GD68" t="e">
        <f>AND(#REF!,"AAAAADzfDrk=")</f>
        <v>#REF!</v>
      </c>
      <c r="GE68" t="e">
        <f>AND(#REF!,"AAAAADzfDro=")</f>
        <v>#REF!</v>
      </c>
      <c r="GF68" t="e">
        <f>AND(#REF!,"AAAAADzfDrs=")</f>
        <v>#REF!</v>
      </c>
      <c r="GG68" t="e">
        <f>AND(#REF!,"AAAAADzfDrw=")</f>
        <v>#REF!</v>
      </c>
      <c r="GH68" t="e">
        <f>AND(#REF!,"AAAAADzfDr0=")</f>
        <v>#REF!</v>
      </c>
      <c r="GI68" t="e">
        <f>AND(#REF!,"AAAAADzfDr4=")</f>
        <v>#REF!</v>
      </c>
      <c r="GJ68" t="e">
        <f>AND(#REF!,"AAAAADzfDr8=")</f>
        <v>#REF!</v>
      </c>
      <c r="GK68" t="e">
        <f>AND(#REF!,"AAAAADzfDsA=")</f>
        <v>#REF!</v>
      </c>
      <c r="GL68" t="e">
        <f>AND(#REF!,"AAAAADzfDsE=")</f>
        <v>#REF!</v>
      </c>
      <c r="GM68" t="e">
        <f>IF(#REF!,"AAAAADzfDsI=",0)</f>
        <v>#REF!</v>
      </c>
      <c r="GN68" t="e">
        <f>AND(#REF!,"AAAAADzfDsM=")</f>
        <v>#REF!</v>
      </c>
      <c r="GO68" t="e">
        <f>AND(#REF!,"AAAAADzfDsQ=")</f>
        <v>#REF!</v>
      </c>
      <c r="GP68" t="e">
        <f>AND(#REF!,"AAAAADzfDsU=")</f>
        <v>#REF!</v>
      </c>
      <c r="GQ68" t="e">
        <f>AND(#REF!,"AAAAADzfDsY=")</f>
        <v>#REF!</v>
      </c>
      <c r="GR68" t="e">
        <f>AND(#REF!,"AAAAADzfDsc=")</f>
        <v>#REF!</v>
      </c>
      <c r="GS68" t="e">
        <f>AND(#REF!,"AAAAADzfDsg=")</f>
        <v>#REF!</v>
      </c>
      <c r="GT68" t="e">
        <f>AND(#REF!,"AAAAADzfDsk=")</f>
        <v>#REF!</v>
      </c>
      <c r="GU68" t="e">
        <f>AND(#REF!,"AAAAADzfDso=")</f>
        <v>#REF!</v>
      </c>
      <c r="GV68" t="e">
        <f>AND(#REF!,"AAAAADzfDss=")</f>
        <v>#REF!</v>
      </c>
      <c r="GW68" t="e">
        <f>AND(#REF!,"AAAAADzfDsw=")</f>
        <v>#REF!</v>
      </c>
      <c r="GX68" t="e">
        <f>AND(#REF!,"AAAAADzfDs0=")</f>
        <v>#REF!</v>
      </c>
      <c r="GY68" t="e">
        <f>AND(#REF!,"AAAAADzfDs4=")</f>
        <v>#REF!</v>
      </c>
      <c r="GZ68" t="e">
        <f>AND(#REF!,"AAAAADzfDs8=")</f>
        <v>#REF!</v>
      </c>
      <c r="HA68" t="e">
        <f>AND(#REF!,"AAAAADzfDtA=")</f>
        <v>#REF!</v>
      </c>
      <c r="HB68" t="e">
        <f>IF(#REF!,"AAAAADzfDtE=",0)</f>
        <v>#REF!</v>
      </c>
      <c r="HC68" t="e">
        <f>AND(#REF!,"AAAAADzfDtI=")</f>
        <v>#REF!</v>
      </c>
      <c r="HD68" t="e">
        <f>AND(#REF!,"AAAAADzfDtM=")</f>
        <v>#REF!</v>
      </c>
      <c r="HE68" t="e">
        <f>AND(#REF!,"AAAAADzfDtQ=")</f>
        <v>#REF!</v>
      </c>
      <c r="HF68" t="e">
        <f>AND(#REF!,"AAAAADzfDtU=")</f>
        <v>#REF!</v>
      </c>
      <c r="HG68" t="e">
        <f>AND(#REF!,"AAAAADzfDtY=")</f>
        <v>#REF!</v>
      </c>
      <c r="HH68" t="e">
        <f>AND(#REF!,"AAAAADzfDtc=")</f>
        <v>#REF!</v>
      </c>
      <c r="HI68" t="e">
        <f>AND(#REF!,"AAAAADzfDtg=")</f>
        <v>#REF!</v>
      </c>
      <c r="HJ68" t="e">
        <f>AND(#REF!,"AAAAADzfDtk=")</f>
        <v>#REF!</v>
      </c>
      <c r="HK68" t="e">
        <f>AND(#REF!,"AAAAADzfDto=")</f>
        <v>#REF!</v>
      </c>
      <c r="HL68" t="e">
        <f>AND(#REF!,"AAAAADzfDts=")</f>
        <v>#REF!</v>
      </c>
      <c r="HM68" t="e">
        <f>AND(#REF!,"AAAAADzfDtw=")</f>
        <v>#REF!</v>
      </c>
      <c r="HN68" t="e">
        <f>AND(#REF!,"AAAAADzfDt0=")</f>
        <v>#REF!</v>
      </c>
      <c r="HO68" t="e">
        <f>AND(#REF!,"AAAAADzfDt4=")</f>
        <v>#REF!</v>
      </c>
      <c r="HP68" t="e">
        <f>AND(#REF!,"AAAAADzfDt8=")</f>
        <v>#REF!</v>
      </c>
      <c r="HQ68" t="e">
        <f>IF(#REF!,"AAAAADzfDuA=",0)</f>
        <v>#REF!</v>
      </c>
      <c r="HR68" t="e">
        <f>AND(#REF!,"AAAAADzfDuE=")</f>
        <v>#REF!</v>
      </c>
      <c r="HS68" t="e">
        <f>AND(#REF!,"AAAAADzfDuI=")</f>
        <v>#REF!</v>
      </c>
      <c r="HT68" t="e">
        <f>AND(#REF!,"AAAAADzfDuM=")</f>
        <v>#REF!</v>
      </c>
      <c r="HU68" t="e">
        <f>AND(#REF!,"AAAAADzfDuQ=")</f>
        <v>#REF!</v>
      </c>
      <c r="HV68" t="e">
        <f>AND(#REF!,"AAAAADzfDuU=")</f>
        <v>#REF!</v>
      </c>
      <c r="HW68" t="e">
        <f>AND(#REF!,"AAAAADzfDuY=")</f>
        <v>#REF!</v>
      </c>
      <c r="HX68" t="e">
        <f>AND(#REF!,"AAAAADzfDuc=")</f>
        <v>#REF!</v>
      </c>
      <c r="HY68" t="e">
        <f>AND(#REF!,"AAAAADzfDug=")</f>
        <v>#REF!</v>
      </c>
      <c r="HZ68" t="e">
        <f>AND(#REF!,"AAAAADzfDuk=")</f>
        <v>#REF!</v>
      </c>
      <c r="IA68" t="e">
        <f>AND(#REF!,"AAAAADzfDuo=")</f>
        <v>#REF!</v>
      </c>
      <c r="IB68" t="e">
        <f>AND(#REF!,"AAAAADzfDus=")</f>
        <v>#REF!</v>
      </c>
      <c r="IC68" t="e">
        <f>AND(#REF!,"AAAAADzfDuw=")</f>
        <v>#REF!</v>
      </c>
      <c r="ID68" t="e">
        <f>AND(#REF!,"AAAAADzfDu0=")</f>
        <v>#REF!</v>
      </c>
      <c r="IE68" t="e">
        <f>AND(#REF!,"AAAAADzfDu4=")</f>
        <v>#REF!</v>
      </c>
      <c r="IF68" t="e">
        <f>IF(#REF!,"AAAAADzfDu8=",0)</f>
        <v>#REF!</v>
      </c>
      <c r="IG68" t="e">
        <f>AND(#REF!,"AAAAADzfDvA=")</f>
        <v>#REF!</v>
      </c>
      <c r="IH68" t="e">
        <f>AND(#REF!,"AAAAADzfDvE=")</f>
        <v>#REF!</v>
      </c>
      <c r="II68" t="e">
        <f>AND(#REF!,"AAAAADzfDvI=")</f>
        <v>#REF!</v>
      </c>
      <c r="IJ68" t="e">
        <f>AND(#REF!,"AAAAADzfDvM=")</f>
        <v>#REF!</v>
      </c>
      <c r="IK68" t="e">
        <f>AND(#REF!,"AAAAADzfDvQ=")</f>
        <v>#REF!</v>
      </c>
      <c r="IL68" t="e">
        <f>AND(#REF!,"AAAAADzfDvU=")</f>
        <v>#REF!</v>
      </c>
      <c r="IM68" t="e">
        <f>AND(#REF!,"AAAAADzfDvY=")</f>
        <v>#REF!</v>
      </c>
      <c r="IN68" t="e">
        <f>AND(#REF!,"AAAAADzfDvc=")</f>
        <v>#REF!</v>
      </c>
      <c r="IO68" t="e">
        <f>AND(#REF!,"AAAAADzfDvg=")</f>
        <v>#REF!</v>
      </c>
      <c r="IP68" t="e">
        <f>AND(#REF!,"AAAAADzfDvk=")</f>
        <v>#REF!</v>
      </c>
      <c r="IQ68" t="e">
        <f>AND(#REF!,"AAAAADzfDvo=")</f>
        <v>#REF!</v>
      </c>
      <c r="IR68" t="e">
        <f>AND(#REF!,"AAAAADzfDvs=")</f>
        <v>#REF!</v>
      </c>
      <c r="IS68" t="e">
        <f>AND(#REF!,"AAAAADzfDvw=")</f>
        <v>#REF!</v>
      </c>
      <c r="IT68" t="e">
        <f>AND(#REF!,"AAAAADzfDv0=")</f>
        <v>#REF!</v>
      </c>
      <c r="IU68" t="e">
        <f>IF(#REF!,"AAAAADzfDv4=",0)</f>
        <v>#REF!</v>
      </c>
      <c r="IV68" t="e">
        <f>AND(#REF!,"AAAAADzfDv8=")</f>
        <v>#REF!</v>
      </c>
    </row>
    <row r="69" spans="1:256" x14ac:dyDescent="0.15">
      <c r="A69" t="e">
        <f>AND(#REF!,"AAAAAF333wA=")</f>
        <v>#REF!</v>
      </c>
      <c r="B69" t="e">
        <f>AND(#REF!,"AAAAAF333wE=")</f>
        <v>#REF!</v>
      </c>
      <c r="C69" t="e">
        <f>AND(#REF!,"AAAAAF333wI=")</f>
        <v>#REF!</v>
      </c>
      <c r="D69" t="e">
        <f>AND(#REF!,"AAAAAF333wM=")</f>
        <v>#REF!</v>
      </c>
      <c r="E69" t="e">
        <f>AND(#REF!,"AAAAAF333wQ=")</f>
        <v>#REF!</v>
      </c>
      <c r="F69" t="e">
        <f>AND(#REF!,"AAAAAF333wU=")</f>
        <v>#REF!</v>
      </c>
      <c r="G69" t="e">
        <f>AND(#REF!,"AAAAAF333wY=")</f>
        <v>#REF!</v>
      </c>
      <c r="H69" t="e">
        <f>AND(#REF!,"AAAAAF333wc=")</f>
        <v>#REF!</v>
      </c>
      <c r="I69" t="e">
        <f>AND(#REF!,"AAAAAF333wg=")</f>
        <v>#REF!</v>
      </c>
      <c r="J69" t="e">
        <f>AND(#REF!,"AAAAAF333wk=")</f>
        <v>#REF!</v>
      </c>
      <c r="K69" t="e">
        <f>AND(#REF!,"AAAAAF333wo=")</f>
        <v>#REF!</v>
      </c>
      <c r="L69" t="e">
        <f>AND(#REF!,"AAAAAF333ws=")</f>
        <v>#REF!</v>
      </c>
      <c r="M69" t="e">
        <f>AND(#REF!,"AAAAAF333ww=")</f>
        <v>#REF!</v>
      </c>
      <c r="N69" t="e">
        <f>IF(#REF!,"AAAAAF333w0=",0)</f>
        <v>#REF!</v>
      </c>
      <c r="O69" t="e">
        <f>AND(#REF!,"AAAAAF333w4=")</f>
        <v>#REF!</v>
      </c>
      <c r="P69" t="e">
        <f>AND(#REF!,"AAAAAF333w8=")</f>
        <v>#REF!</v>
      </c>
      <c r="Q69" t="e">
        <f>AND(#REF!,"AAAAAF333xA=")</f>
        <v>#REF!</v>
      </c>
      <c r="R69" t="e">
        <f>AND(#REF!,"AAAAAF333xE=")</f>
        <v>#REF!</v>
      </c>
      <c r="S69" t="e">
        <f>AND(#REF!,"AAAAAF333xI=")</f>
        <v>#REF!</v>
      </c>
      <c r="T69" t="e">
        <f>AND(#REF!,"AAAAAF333xM=")</f>
        <v>#REF!</v>
      </c>
      <c r="U69" t="e">
        <f>AND(#REF!,"AAAAAF333xQ=")</f>
        <v>#REF!</v>
      </c>
      <c r="V69" t="e">
        <f>AND(#REF!,"AAAAAF333xU=")</f>
        <v>#REF!</v>
      </c>
      <c r="W69" t="e">
        <f>AND(#REF!,"AAAAAF333xY=")</f>
        <v>#REF!</v>
      </c>
      <c r="X69" t="e">
        <f>AND(#REF!,"AAAAAF333xc=")</f>
        <v>#REF!</v>
      </c>
      <c r="Y69" t="e">
        <f>AND(#REF!,"AAAAAF333xg=")</f>
        <v>#REF!</v>
      </c>
      <c r="Z69" t="e">
        <f>AND(#REF!,"AAAAAF333xk=")</f>
        <v>#REF!</v>
      </c>
      <c r="AA69" t="e">
        <f>AND(#REF!,"AAAAAF333xo=")</f>
        <v>#REF!</v>
      </c>
      <c r="AB69" t="e">
        <f>AND(#REF!,"AAAAAF333xs=")</f>
        <v>#REF!</v>
      </c>
      <c r="AC69" t="e">
        <f>IF(#REF!,"AAAAAF333xw=",0)</f>
        <v>#REF!</v>
      </c>
      <c r="AD69" t="e">
        <f>AND(#REF!,"AAAAAF333x0=")</f>
        <v>#REF!</v>
      </c>
      <c r="AE69" t="e">
        <f>AND(#REF!,"AAAAAF333x4=")</f>
        <v>#REF!</v>
      </c>
      <c r="AF69" t="e">
        <f>AND(#REF!,"AAAAAF333x8=")</f>
        <v>#REF!</v>
      </c>
      <c r="AG69" t="e">
        <f>AND(#REF!,"AAAAAF333yA=")</f>
        <v>#REF!</v>
      </c>
      <c r="AH69" t="e">
        <f>AND(#REF!,"AAAAAF333yE=")</f>
        <v>#REF!</v>
      </c>
      <c r="AI69" t="e">
        <f>AND(#REF!,"AAAAAF333yI=")</f>
        <v>#REF!</v>
      </c>
      <c r="AJ69" t="e">
        <f>AND(#REF!,"AAAAAF333yM=")</f>
        <v>#REF!</v>
      </c>
      <c r="AK69" t="e">
        <f>AND(#REF!,"AAAAAF333yQ=")</f>
        <v>#REF!</v>
      </c>
      <c r="AL69" t="e">
        <f>AND(#REF!,"AAAAAF333yU=")</f>
        <v>#REF!</v>
      </c>
      <c r="AM69" t="e">
        <f>AND(#REF!,"AAAAAF333yY=")</f>
        <v>#REF!</v>
      </c>
      <c r="AN69" t="e">
        <f>AND(#REF!,"AAAAAF333yc=")</f>
        <v>#REF!</v>
      </c>
      <c r="AO69" t="e">
        <f>AND(#REF!,"AAAAAF333yg=")</f>
        <v>#REF!</v>
      </c>
      <c r="AP69" t="e">
        <f>AND(#REF!,"AAAAAF333yk=")</f>
        <v>#REF!</v>
      </c>
      <c r="AQ69" t="e">
        <f>AND(#REF!,"AAAAAF333yo=")</f>
        <v>#REF!</v>
      </c>
      <c r="AR69" t="e">
        <f>IF(#REF!,"AAAAAF333ys=",0)</f>
        <v>#REF!</v>
      </c>
      <c r="AS69" t="e">
        <f>AND(#REF!,"AAAAAF333yw=")</f>
        <v>#REF!</v>
      </c>
      <c r="AT69" t="e">
        <f>AND(#REF!,"AAAAAF333y0=")</f>
        <v>#REF!</v>
      </c>
      <c r="AU69" t="e">
        <f>AND(#REF!,"AAAAAF333y4=")</f>
        <v>#REF!</v>
      </c>
      <c r="AV69" t="e">
        <f>AND(#REF!,"AAAAAF333y8=")</f>
        <v>#REF!</v>
      </c>
      <c r="AW69" t="e">
        <f>AND(#REF!,"AAAAAF333zA=")</f>
        <v>#REF!</v>
      </c>
      <c r="AX69" t="e">
        <f>AND(#REF!,"AAAAAF333zE=")</f>
        <v>#REF!</v>
      </c>
      <c r="AY69" t="e">
        <f>AND(#REF!,"AAAAAF333zI=")</f>
        <v>#REF!</v>
      </c>
      <c r="AZ69" t="e">
        <f>AND(#REF!,"AAAAAF333zM=")</f>
        <v>#REF!</v>
      </c>
      <c r="BA69" t="e">
        <f>AND(#REF!,"AAAAAF333zQ=")</f>
        <v>#REF!</v>
      </c>
      <c r="BB69" t="e">
        <f>AND(#REF!,"AAAAAF333zU=")</f>
        <v>#REF!</v>
      </c>
      <c r="BC69" t="e">
        <f>AND(#REF!,"AAAAAF333zY=")</f>
        <v>#REF!</v>
      </c>
      <c r="BD69" t="e">
        <f>AND(#REF!,"AAAAAF333zc=")</f>
        <v>#REF!</v>
      </c>
      <c r="BE69" t="e">
        <f>AND(#REF!,"AAAAAF333zg=")</f>
        <v>#REF!</v>
      </c>
      <c r="BF69" t="e">
        <f>AND(#REF!,"AAAAAF333zk=")</f>
        <v>#REF!</v>
      </c>
      <c r="BG69" t="e">
        <f>IF(#REF!,"AAAAAF333zo=",0)</f>
        <v>#REF!</v>
      </c>
      <c r="BH69" t="e">
        <f>AND(#REF!,"AAAAAF333zs=")</f>
        <v>#REF!</v>
      </c>
      <c r="BI69" t="e">
        <f>AND(#REF!,"AAAAAF333zw=")</f>
        <v>#REF!</v>
      </c>
      <c r="BJ69" t="e">
        <f>AND(#REF!,"AAAAAF333z0=")</f>
        <v>#REF!</v>
      </c>
      <c r="BK69" t="e">
        <f>AND(#REF!,"AAAAAF333z4=")</f>
        <v>#REF!</v>
      </c>
      <c r="BL69" t="e">
        <f>AND(#REF!,"AAAAAF333z8=")</f>
        <v>#REF!</v>
      </c>
      <c r="BM69" t="e">
        <f>AND(#REF!,"AAAAAF3330A=")</f>
        <v>#REF!</v>
      </c>
      <c r="BN69" t="e">
        <f>AND(#REF!,"AAAAAF3330E=")</f>
        <v>#REF!</v>
      </c>
      <c r="BO69" t="e">
        <f>AND(#REF!,"AAAAAF3330I=")</f>
        <v>#REF!</v>
      </c>
      <c r="BP69" t="e">
        <f>AND(#REF!,"AAAAAF3330M=")</f>
        <v>#REF!</v>
      </c>
      <c r="BQ69" t="e">
        <f>AND(#REF!,"AAAAAF3330Q=")</f>
        <v>#REF!</v>
      </c>
      <c r="BR69" t="e">
        <f>AND(#REF!,"AAAAAF3330U=")</f>
        <v>#REF!</v>
      </c>
      <c r="BS69" t="e">
        <f>AND(#REF!,"AAAAAF3330Y=")</f>
        <v>#REF!</v>
      </c>
      <c r="BT69" t="e">
        <f>AND(#REF!,"AAAAAF3330c=")</f>
        <v>#REF!</v>
      </c>
      <c r="BU69" t="e">
        <f>AND(#REF!,"AAAAAF3330g=")</f>
        <v>#REF!</v>
      </c>
      <c r="BV69" t="e">
        <f>IF(#REF!,"AAAAAF3330k=",0)</f>
        <v>#REF!</v>
      </c>
      <c r="BW69" t="e">
        <f>AND(#REF!,"AAAAAF3330o=")</f>
        <v>#REF!</v>
      </c>
      <c r="BX69" t="e">
        <f>AND(#REF!,"AAAAAF3330s=")</f>
        <v>#REF!</v>
      </c>
      <c r="BY69" t="e">
        <f>AND(#REF!,"AAAAAF3330w=")</f>
        <v>#REF!</v>
      </c>
      <c r="BZ69" t="e">
        <f>AND(#REF!,"AAAAAF33300=")</f>
        <v>#REF!</v>
      </c>
      <c r="CA69" t="e">
        <f>AND(#REF!,"AAAAAF33304=")</f>
        <v>#REF!</v>
      </c>
      <c r="CB69" t="e">
        <f>AND(#REF!,"AAAAAF33308=")</f>
        <v>#REF!</v>
      </c>
      <c r="CC69" t="e">
        <f>AND(#REF!,"AAAAAF3331A=")</f>
        <v>#REF!</v>
      </c>
      <c r="CD69" t="e">
        <f>AND(#REF!,"AAAAAF3331E=")</f>
        <v>#REF!</v>
      </c>
      <c r="CE69" t="e">
        <f>AND(#REF!,"AAAAAF3331I=")</f>
        <v>#REF!</v>
      </c>
      <c r="CF69" t="e">
        <f>AND(#REF!,"AAAAAF3331M=")</f>
        <v>#REF!</v>
      </c>
      <c r="CG69" t="e">
        <f>AND(#REF!,"AAAAAF3331Q=")</f>
        <v>#REF!</v>
      </c>
      <c r="CH69" t="e">
        <f>AND(#REF!,"AAAAAF3331U=")</f>
        <v>#REF!</v>
      </c>
      <c r="CI69" t="e">
        <f>AND(#REF!,"AAAAAF3331Y=")</f>
        <v>#REF!</v>
      </c>
      <c r="CJ69" t="e">
        <f>AND(#REF!,"AAAAAF3331c=")</f>
        <v>#REF!</v>
      </c>
      <c r="CK69" t="e">
        <f>IF(#REF!,"AAAAAF3331g=",0)</f>
        <v>#REF!</v>
      </c>
      <c r="CL69" t="e">
        <f>AND(#REF!,"AAAAAF3331k=")</f>
        <v>#REF!</v>
      </c>
      <c r="CM69" t="e">
        <f>AND(#REF!,"AAAAAF3331o=")</f>
        <v>#REF!</v>
      </c>
      <c r="CN69" t="e">
        <f>AND(#REF!,"AAAAAF3331s=")</f>
        <v>#REF!</v>
      </c>
      <c r="CO69" t="e">
        <f>AND(#REF!,"AAAAAF3331w=")</f>
        <v>#REF!</v>
      </c>
      <c r="CP69" t="e">
        <f>AND(#REF!,"AAAAAF33310=")</f>
        <v>#REF!</v>
      </c>
      <c r="CQ69" t="e">
        <f>AND(#REF!,"AAAAAF33314=")</f>
        <v>#REF!</v>
      </c>
      <c r="CR69" t="e">
        <f>AND(#REF!,"AAAAAF33318=")</f>
        <v>#REF!</v>
      </c>
      <c r="CS69" t="e">
        <f>AND(#REF!,"AAAAAF3332A=")</f>
        <v>#REF!</v>
      </c>
      <c r="CT69" t="e">
        <f>AND(#REF!,"AAAAAF3332E=")</f>
        <v>#REF!</v>
      </c>
      <c r="CU69" t="e">
        <f>AND(#REF!,"AAAAAF3332I=")</f>
        <v>#REF!</v>
      </c>
      <c r="CV69" t="e">
        <f>AND(#REF!,"AAAAAF3332M=")</f>
        <v>#REF!</v>
      </c>
      <c r="CW69" t="e">
        <f>AND(#REF!,"AAAAAF3332Q=")</f>
        <v>#REF!</v>
      </c>
      <c r="CX69" t="e">
        <f>AND(#REF!,"AAAAAF3332U=")</f>
        <v>#REF!</v>
      </c>
      <c r="CY69" t="e">
        <f>AND(#REF!,"AAAAAF3332Y=")</f>
        <v>#REF!</v>
      </c>
      <c r="CZ69" t="e">
        <f>IF(#REF!,"AAAAAF3332c=",0)</f>
        <v>#REF!</v>
      </c>
      <c r="DA69" t="e">
        <f>AND(#REF!,"AAAAAF3332g=")</f>
        <v>#REF!</v>
      </c>
      <c r="DB69" t="e">
        <f>AND(#REF!,"AAAAAF3332k=")</f>
        <v>#REF!</v>
      </c>
      <c r="DC69" t="e">
        <f>AND(#REF!,"AAAAAF3332o=")</f>
        <v>#REF!</v>
      </c>
      <c r="DD69" t="e">
        <f>AND(#REF!,"AAAAAF3332s=")</f>
        <v>#REF!</v>
      </c>
      <c r="DE69" t="e">
        <f>AND(#REF!,"AAAAAF3332w=")</f>
        <v>#REF!</v>
      </c>
      <c r="DF69" t="e">
        <f>AND(#REF!,"AAAAAF33320=")</f>
        <v>#REF!</v>
      </c>
      <c r="DG69" t="e">
        <f>AND(#REF!,"AAAAAF33324=")</f>
        <v>#REF!</v>
      </c>
      <c r="DH69" t="e">
        <f>AND(#REF!,"AAAAAF33328=")</f>
        <v>#REF!</v>
      </c>
      <c r="DI69" t="e">
        <f>AND(#REF!,"AAAAAF3333A=")</f>
        <v>#REF!</v>
      </c>
      <c r="DJ69" t="e">
        <f>AND(#REF!,"AAAAAF3333E=")</f>
        <v>#REF!</v>
      </c>
      <c r="DK69" t="e">
        <f>AND(#REF!,"AAAAAF3333I=")</f>
        <v>#REF!</v>
      </c>
      <c r="DL69" t="e">
        <f>AND(#REF!,"AAAAAF3333M=")</f>
        <v>#REF!</v>
      </c>
      <c r="DM69" t="e">
        <f>AND(#REF!,"AAAAAF3333Q=")</f>
        <v>#REF!</v>
      </c>
      <c r="DN69" t="e">
        <f>AND(#REF!,"AAAAAF3333U=")</f>
        <v>#REF!</v>
      </c>
      <c r="DO69" t="e">
        <f>IF(#REF!,"AAAAAF3333Y=",0)</f>
        <v>#REF!</v>
      </c>
      <c r="DP69" t="e">
        <f>AND(#REF!,"AAAAAF3333c=")</f>
        <v>#REF!</v>
      </c>
      <c r="DQ69" t="e">
        <f>AND(#REF!,"AAAAAF3333g=")</f>
        <v>#REF!</v>
      </c>
      <c r="DR69" t="e">
        <f>AND(#REF!,"AAAAAF3333k=")</f>
        <v>#REF!</v>
      </c>
      <c r="DS69" t="e">
        <f>AND(#REF!,"AAAAAF3333o=")</f>
        <v>#REF!</v>
      </c>
      <c r="DT69" t="e">
        <f>AND(#REF!,"AAAAAF3333s=")</f>
        <v>#REF!</v>
      </c>
      <c r="DU69" t="e">
        <f>AND(#REF!,"AAAAAF3333w=")</f>
        <v>#REF!</v>
      </c>
      <c r="DV69" t="e">
        <f>AND(#REF!,"AAAAAF33330=")</f>
        <v>#REF!</v>
      </c>
      <c r="DW69" t="e">
        <f>AND(#REF!,"AAAAAF33334=")</f>
        <v>#REF!</v>
      </c>
      <c r="DX69" t="e">
        <f>AND(#REF!,"AAAAAF33338=")</f>
        <v>#REF!</v>
      </c>
      <c r="DY69" t="e">
        <f>AND(#REF!,"AAAAAF3334A=")</f>
        <v>#REF!</v>
      </c>
      <c r="DZ69" t="e">
        <f>AND(#REF!,"AAAAAF3334E=")</f>
        <v>#REF!</v>
      </c>
      <c r="EA69" t="e">
        <f>AND(#REF!,"AAAAAF3334I=")</f>
        <v>#REF!</v>
      </c>
      <c r="EB69" t="e">
        <f>AND(#REF!,"AAAAAF3334M=")</f>
        <v>#REF!</v>
      </c>
      <c r="EC69" t="e">
        <f>AND(#REF!,"AAAAAF3334Q=")</f>
        <v>#REF!</v>
      </c>
      <c r="ED69" t="e">
        <f>IF(#REF!,"AAAAAF3334U=",0)</f>
        <v>#REF!</v>
      </c>
      <c r="EE69" t="e">
        <f>AND(#REF!,"AAAAAF3334Y=")</f>
        <v>#REF!</v>
      </c>
      <c r="EF69" t="e">
        <f>AND(#REF!,"AAAAAF3334c=")</f>
        <v>#REF!</v>
      </c>
      <c r="EG69" t="e">
        <f>AND(#REF!,"AAAAAF3334g=")</f>
        <v>#REF!</v>
      </c>
      <c r="EH69" t="e">
        <f>AND(#REF!,"AAAAAF3334k=")</f>
        <v>#REF!</v>
      </c>
      <c r="EI69" t="e">
        <f>AND(#REF!,"AAAAAF3334o=")</f>
        <v>#REF!</v>
      </c>
      <c r="EJ69" t="e">
        <f>AND(#REF!,"AAAAAF3334s=")</f>
        <v>#REF!</v>
      </c>
      <c r="EK69" t="e">
        <f>AND(#REF!,"AAAAAF3334w=")</f>
        <v>#REF!</v>
      </c>
      <c r="EL69" t="e">
        <f>AND(#REF!,"AAAAAF33340=")</f>
        <v>#REF!</v>
      </c>
      <c r="EM69" t="e">
        <f>AND(#REF!,"AAAAAF33344=")</f>
        <v>#REF!</v>
      </c>
      <c r="EN69" t="e">
        <f>AND(#REF!,"AAAAAF33348=")</f>
        <v>#REF!</v>
      </c>
      <c r="EO69" t="e">
        <f>AND(#REF!,"AAAAAF3335A=")</f>
        <v>#REF!</v>
      </c>
      <c r="EP69" t="e">
        <f>AND(#REF!,"AAAAAF3335E=")</f>
        <v>#REF!</v>
      </c>
      <c r="EQ69" t="e">
        <f>AND(#REF!,"AAAAAF3335I=")</f>
        <v>#REF!</v>
      </c>
      <c r="ER69" t="e">
        <f>AND(#REF!,"AAAAAF3335M=")</f>
        <v>#REF!</v>
      </c>
      <c r="ES69" t="e">
        <f>IF(#REF!,"AAAAAF3335Q=",0)</f>
        <v>#REF!</v>
      </c>
      <c r="ET69" t="e">
        <f>AND(#REF!,"AAAAAF3335U=")</f>
        <v>#REF!</v>
      </c>
      <c r="EU69" t="e">
        <f>AND(#REF!,"AAAAAF3335Y=")</f>
        <v>#REF!</v>
      </c>
      <c r="EV69" t="e">
        <f>AND(#REF!,"AAAAAF3335c=")</f>
        <v>#REF!</v>
      </c>
      <c r="EW69" t="e">
        <f>AND(#REF!,"AAAAAF3335g=")</f>
        <v>#REF!</v>
      </c>
      <c r="EX69" t="e">
        <f>AND(#REF!,"AAAAAF3335k=")</f>
        <v>#REF!</v>
      </c>
      <c r="EY69" t="e">
        <f>AND(#REF!,"AAAAAF3335o=")</f>
        <v>#REF!</v>
      </c>
      <c r="EZ69" t="e">
        <f>AND(#REF!,"AAAAAF3335s=")</f>
        <v>#REF!</v>
      </c>
      <c r="FA69" t="e">
        <f>AND(#REF!,"AAAAAF3335w=")</f>
        <v>#REF!</v>
      </c>
      <c r="FB69" t="e">
        <f>AND(#REF!,"AAAAAF33350=")</f>
        <v>#REF!</v>
      </c>
      <c r="FC69" t="e">
        <f>AND(#REF!,"AAAAAF33354=")</f>
        <v>#REF!</v>
      </c>
      <c r="FD69" t="e">
        <f>AND(#REF!,"AAAAAF33358=")</f>
        <v>#REF!</v>
      </c>
      <c r="FE69" t="e">
        <f>AND(#REF!,"AAAAAF3336A=")</f>
        <v>#REF!</v>
      </c>
      <c r="FF69" t="e">
        <f>AND(#REF!,"AAAAAF3336E=")</f>
        <v>#REF!</v>
      </c>
      <c r="FG69" t="e">
        <f>AND(#REF!,"AAAAAF3336I=")</f>
        <v>#REF!</v>
      </c>
      <c r="FH69" t="e">
        <f>IF(#REF!,"AAAAAF3336M=",0)</f>
        <v>#REF!</v>
      </c>
      <c r="FI69" t="e">
        <f>AND(#REF!,"AAAAAF3336Q=")</f>
        <v>#REF!</v>
      </c>
      <c r="FJ69" t="e">
        <f>AND(#REF!,"AAAAAF3336U=")</f>
        <v>#REF!</v>
      </c>
      <c r="FK69" t="e">
        <f>AND(#REF!,"AAAAAF3336Y=")</f>
        <v>#REF!</v>
      </c>
      <c r="FL69" t="e">
        <f>AND(#REF!,"AAAAAF3336c=")</f>
        <v>#REF!</v>
      </c>
      <c r="FM69" t="e">
        <f>AND(#REF!,"AAAAAF3336g=")</f>
        <v>#REF!</v>
      </c>
      <c r="FN69" t="e">
        <f>AND(#REF!,"AAAAAF3336k=")</f>
        <v>#REF!</v>
      </c>
      <c r="FO69" t="e">
        <f>AND(#REF!,"AAAAAF3336o=")</f>
        <v>#REF!</v>
      </c>
      <c r="FP69" t="e">
        <f>AND(#REF!,"AAAAAF3336s=")</f>
        <v>#REF!</v>
      </c>
      <c r="FQ69" t="e">
        <f>AND(#REF!,"AAAAAF3336w=")</f>
        <v>#REF!</v>
      </c>
      <c r="FR69" t="e">
        <f>AND(#REF!,"AAAAAF33360=")</f>
        <v>#REF!</v>
      </c>
      <c r="FS69" t="e">
        <f>AND(#REF!,"AAAAAF33364=")</f>
        <v>#REF!</v>
      </c>
      <c r="FT69" t="e">
        <f>AND(#REF!,"AAAAAF33368=")</f>
        <v>#REF!</v>
      </c>
      <c r="FU69" t="e">
        <f>AND(#REF!,"AAAAAF3337A=")</f>
        <v>#REF!</v>
      </c>
      <c r="FV69" t="e">
        <f>AND(#REF!,"AAAAAF3337E=")</f>
        <v>#REF!</v>
      </c>
      <c r="FW69" t="e">
        <f>IF(#REF!,"AAAAAF3337I=",0)</f>
        <v>#REF!</v>
      </c>
      <c r="FX69" t="e">
        <f>AND(#REF!,"AAAAAF3337M=")</f>
        <v>#REF!</v>
      </c>
      <c r="FY69" t="e">
        <f>AND(#REF!,"AAAAAF3337Q=")</f>
        <v>#REF!</v>
      </c>
      <c r="FZ69" t="e">
        <f>AND(#REF!,"AAAAAF3337U=")</f>
        <v>#REF!</v>
      </c>
      <c r="GA69" t="e">
        <f>AND(#REF!,"AAAAAF3337Y=")</f>
        <v>#REF!</v>
      </c>
      <c r="GB69" t="e">
        <f>AND(#REF!,"AAAAAF3337c=")</f>
        <v>#REF!</v>
      </c>
      <c r="GC69" t="e">
        <f>AND(#REF!,"AAAAAF3337g=")</f>
        <v>#REF!</v>
      </c>
      <c r="GD69" t="e">
        <f>AND(#REF!,"AAAAAF3337k=")</f>
        <v>#REF!</v>
      </c>
      <c r="GE69" t="e">
        <f>AND(#REF!,"AAAAAF3337o=")</f>
        <v>#REF!</v>
      </c>
      <c r="GF69" t="e">
        <f>AND(#REF!,"AAAAAF3337s=")</f>
        <v>#REF!</v>
      </c>
      <c r="GG69" t="e">
        <f>AND(#REF!,"AAAAAF3337w=")</f>
        <v>#REF!</v>
      </c>
      <c r="GH69" t="e">
        <f>AND(#REF!,"AAAAAF33370=")</f>
        <v>#REF!</v>
      </c>
      <c r="GI69" t="e">
        <f>AND(#REF!,"AAAAAF33374=")</f>
        <v>#REF!</v>
      </c>
      <c r="GJ69" t="e">
        <f>AND(#REF!,"AAAAAF33378=")</f>
        <v>#REF!</v>
      </c>
      <c r="GK69" t="e">
        <f>AND(#REF!,"AAAAAF3338A=")</f>
        <v>#REF!</v>
      </c>
      <c r="GL69" t="e">
        <f>IF(#REF!,"AAAAAF3338E=",0)</f>
        <v>#REF!</v>
      </c>
      <c r="GM69" t="e">
        <f>AND(#REF!,"AAAAAF3338I=")</f>
        <v>#REF!</v>
      </c>
      <c r="GN69" t="e">
        <f>AND(#REF!,"AAAAAF3338M=")</f>
        <v>#REF!</v>
      </c>
      <c r="GO69" t="e">
        <f>AND(#REF!,"AAAAAF3338Q=")</f>
        <v>#REF!</v>
      </c>
      <c r="GP69" t="e">
        <f>AND(#REF!,"AAAAAF3338U=")</f>
        <v>#REF!</v>
      </c>
      <c r="GQ69" t="e">
        <f>AND(#REF!,"AAAAAF3338Y=")</f>
        <v>#REF!</v>
      </c>
      <c r="GR69" t="e">
        <f>AND(#REF!,"AAAAAF3338c=")</f>
        <v>#REF!</v>
      </c>
      <c r="GS69" t="e">
        <f>AND(#REF!,"AAAAAF3338g=")</f>
        <v>#REF!</v>
      </c>
      <c r="GT69" t="e">
        <f>AND(#REF!,"AAAAAF3338k=")</f>
        <v>#REF!</v>
      </c>
      <c r="GU69" t="e">
        <f>AND(#REF!,"AAAAAF3338o=")</f>
        <v>#REF!</v>
      </c>
      <c r="GV69" t="e">
        <f>AND(#REF!,"AAAAAF3338s=")</f>
        <v>#REF!</v>
      </c>
      <c r="GW69" t="e">
        <f>AND(#REF!,"AAAAAF3338w=")</f>
        <v>#REF!</v>
      </c>
      <c r="GX69" t="e">
        <f>AND(#REF!,"AAAAAF33380=")</f>
        <v>#REF!</v>
      </c>
      <c r="GY69" t="e">
        <f>AND(#REF!,"AAAAAF33384=")</f>
        <v>#REF!</v>
      </c>
      <c r="GZ69" t="e">
        <f>AND(#REF!,"AAAAAF33388=")</f>
        <v>#REF!</v>
      </c>
      <c r="HA69" t="e">
        <f>IF(#REF!,"AAAAAF3339A=",0)</f>
        <v>#REF!</v>
      </c>
      <c r="HB69" t="e">
        <f>AND(#REF!,"AAAAAF3339E=")</f>
        <v>#REF!</v>
      </c>
      <c r="HC69" t="e">
        <f>AND(#REF!,"AAAAAF3339I=")</f>
        <v>#REF!</v>
      </c>
      <c r="HD69" t="e">
        <f>AND(#REF!,"AAAAAF3339M=")</f>
        <v>#REF!</v>
      </c>
      <c r="HE69" t="e">
        <f>AND(#REF!,"AAAAAF3339Q=")</f>
        <v>#REF!</v>
      </c>
      <c r="HF69" t="e">
        <f>AND(#REF!,"AAAAAF3339U=")</f>
        <v>#REF!</v>
      </c>
      <c r="HG69" t="e">
        <f>AND(#REF!,"AAAAAF3339Y=")</f>
        <v>#REF!</v>
      </c>
      <c r="HH69" t="e">
        <f>AND(#REF!,"AAAAAF3339c=")</f>
        <v>#REF!</v>
      </c>
      <c r="HI69" t="e">
        <f>AND(#REF!,"AAAAAF3339g=")</f>
        <v>#REF!</v>
      </c>
      <c r="HJ69" t="e">
        <f>AND(#REF!,"AAAAAF3339k=")</f>
        <v>#REF!</v>
      </c>
      <c r="HK69" t="e">
        <f>AND(#REF!,"AAAAAF3339o=")</f>
        <v>#REF!</v>
      </c>
      <c r="HL69" t="e">
        <f>AND(#REF!,"AAAAAF3339s=")</f>
        <v>#REF!</v>
      </c>
      <c r="HM69" t="e">
        <f>AND(#REF!,"AAAAAF3339w=")</f>
        <v>#REF!</v>
      </c>
      <c r="HN69" t="e">
        <f>AND(#REF!,"AAAAAF33390=")</f>
        <v>#REF!</v>
      </c>
      <c r="HO69" t="e">
        <f>AND(#REF!,"AAAAAF33394=")</f>
        <v>#REF!</v>
      </c>
      <c r="HP69" t="e">
        <f>IF(#REF!,"AAAAAF33398=",0)</f>
        <v>#REF!</v>
      </c>
      <c r="HQ69" t="e">
        <f>AND(#REF!,"AAAAAF333+A=")</f>
        <v>#REF!</v>
      </c>
      <c r="HR69" t="e">
        <f>AND(#REF!,"AAAAAF333+E=")</f>
        <v>#REF!</v>
      </c>
      <c r="HS69" t="e">
        <f>AND(#REF!,"AAAAAF333+I=")</f>
        <v>#REF!</v>
      </c>
      <c r="HT69" t="e">
        <f>AND(#REF!,"AAAAAF333+M=")</f>
        <v>#REF!</v>
      </c>
      <c r="HU69" t="e">
        <f>AND(#REF!,"AAAAAF333+Q=")</f>
        <v>#REF!</v>
      </c>
      <c r="HV69" t="e">
        <f>AND(#REF!,"AAAAAF333+U=")</f>
        <v>#REF!</v>
      </c>
      <c r="HW69" t="e">
        <f>AND(#REF!,"AAAAAF333+Y=")</f>
        <v>#REF!</v>
      </c>
      <c r="HX69" t="e">
        <f>AND(#REF!,"AAAAAF333+c=")</f>
        <v>#REF!</v>
      </c>
      <c r="HY69" t="e">
        <f>AND(#REF!,"AAAAAF333+g=")</f>
        <v>#REF!</v>
      </c>
      <c r="HZ69" t="e">
        <f>AND(#REF!,"AAAAAF333+k=")</f>
        <v>#REF!</v>
      </c>
      <c r="IA69" t="e">
        <f>AND(#REF!,"AAAAAF333+o=")</f>
        <v>#REF!</v>
      </c>
      <c r="IB69" t="e">
        <f>AND(#REF!,"AAAAAF333+s=")</f>
        <v>#REF!</v>
      </c>
      <c r="IC69" t="e">
        <f>AND(#REF!,"AAAAAF333+w=")</f>
        <v>#REF!</v>
      </c>
      <c r="ID69" t="e">
        <f>AND(#REF!,"AAAAAF333+0=")</f>
        <v>#REF!</v>
      </c>
      <c r="IE69" t="e">
        <f>IF(#REF!,"AAAAAF333+4=",0)</f>
        <v>#REF!</v>
      </c>
      <c r="IF69" t="e">
        <f>AND(#REF!,"AAAAAF333+8=")</f>
        <v>#REF!</v>
      </c>
      <c r="IG69" t="e">
        <f>AND(#REF!,"AAAAAF333/A=")</f>
        <v>#REF!</v>
      </c>
      <c r="IH69" t="e">
        <f>AND(#REF!,"AAAAAF333/E=")</f>
        <v>#REF!</v>
      </c>
      <c r="II69" t="e">
        <f>AND(#REF!,"AAAAAF333/I=")</f>
        <v>#REF!</v>
      </c>
      <c r="IJ69" t="e">
        <f>AND(#REF!,"AAAAAF333/M=")</f>
        <v>#REF!</v>
      </c>
      <c r="IK69" t="e">
        <f>AND(#REF!,"AAAAAF333/Q=")</f>
        <v>#REF!</v>
      </c>
      <c r="IL69" t="e">
        <f>AND(#REF!,"AAAAAF333/U=")</f>
        <v>#REF!</v>
      </c>
      <c r="IM69" t="e">
        <f>AND(#REF!,"AAAAAF333/Y=")</f>
        <v>#REF!</v>
      </c>
      <c r="IN69" t="e">
        <f>AND(#REF!,"AAAAAF333/c=")</f>
        <v>#REF!</v>
      </c>
      <c r="IO69" t="e">
        <f>AND(#REF!,"AAAAAF333/g=")</f>
        <v>#REF!</v>
      </c>
      <c r="IP69" t="e">
        <f>AND(#REF!,"AAAAAF333/k=")</f>
        <v>#REF!</v>
      </c>
      <c r="IQ69" t="e">
        <f>AND(#REF!,"AAAAAF333/o=")</f>
        <v>#REF!</v>
      </c>
      <c r="IR69" t="e">
        <f>AND(#REF!,"AAAAAF333/s=")</f>
        <v>#REF!</v>
      </c>
      <c r="IS69" t="e">
        <f>AND(#REF!,"AAAAAF333/w=")</f>
        <v>#REF!</v>
      </c>
      <c r="IT69" t="e">
        <f>IF(#REF!,"AAAAAF333/0=",0)</f>
        <v>#REF!</v>
      </c>
      <c r="IU69" t="e">
        <f>AND(#REF!,"AAAAAF333/4=")</f>
        <v>#REF!</v>
      </c>
      <c r="IV69" t="e">
        <f>AND(#REF!,"AAAAAF333/8=")</f>
        <v>#REF!</v>
      </c>
    </row>
    <row r="70" spans="1:256" x14ac:dyDescent="0.15">
      <c r="A70" t="e">
        <f>AND(#REF!,"AAAAAHW18wA=")</f>
        <v>#REF!</v>
      </c>
      <c r="B70" t="e">
        <f>AND(#REF!,"AAAAAHW18wE=")</f>
        <v>#REF!</v>
      </c>
      <c r="C70" t="e">
        <f>AND(#REF!,"AAAAAHW18wI=")</f>
        <v>#REF!</v>
      </c>
      <c r="D70" t="e">
        <f>AND(#REF!,"AAAAAHW18wM=")</f>
        <v>#REF!</v>
      </c>
      <c r="E70" t="e">
        <f>AND(#REF!,"AAAAAHW18wQ=")</f>
        <v>#REF!</v>
      </c>
      <c r="F70" t="e">
        <f>AND(#REF!,"AAAAAHW18wU=")</f>
        <v>#REF!</v>
      </c>
      <c r="G70" t="e">
        <f>AND(#REF!,"AAAAAHW18wY=")</f>
        <v>#REF!</v>
      </c>
      <c r="H70" t="e">
        <f>AND(#REF!,"AAAAAHW18wc=")</f>
        <v>#REF!</v>
      </c>
      <c r="I70" t="e">
        <f>AND(#REF!,"AAAAAHW18wg=")</f>
        <v>#REF!</v>
      </c>
      <c r="J70" t="e">
        <f>AND(#REF!,"AAAAAHW18wk=")</f>
        <v>#REF!</v>
      </c>
      <c r="K70" t="e">
        <f>AND(#REF!,"AAAAAHW18wo=")</f>
        <v>#REF!</v>
      </c>
      <c r="L70" t="e">
        <f>AND(#REF!,"AAAAAHW18ws=")</f>
        <v>#REF!</v>
      </c>
      <c r="M70" t="e">
        <f>IF(#REF!,"AAAAAHW18ww=",0)</f>
        <v>#REF!</v>
      </c>
      <c r="N70" t="e">
        <f>AND(#REF!,"AAAAAHW18w0=")</f>
        <v>#REF!</v>
      </c>
      <c r="O70" t="e">
        <f>AND(#REF!,"AAAAAHW18w4=")</f>
        <v>#REF!</v>
      </c>
      <c r="P70" t="e">
        <f>AND(#REF!,"AAAAAHW18w8=")</f>
        <v>#REF!</v>
      </c>
      <c r="Q70" t="e">
        <f>AND(#REF!,"AAAAAHW18xA=")</f>
        <v>#REF!</v>
      </c>
      <c r="R70" t="e">
        <f>AND(#REF!,"AAAAAHW18xE=")</f>
        <v>#REF!</v>
      </c>
      <c r="S70" t="e">
        <f>AND(#REF!,"AAAAAHW18xI=")</f>
        <v>#REF!</v>
      </c>
      <c r="T70" t="e">
        <f>AND(#REF!,"AAAAAHW18xM=")</f>
        <v>#REF!</v>
      </c>
      <c r="U70" t="e">
        <f>AND(#REF!,"AAAAAHW18xQ=")</f>
        <v>#REF!</v>
      </c>
      <c r="V70" t="e">
        <f>AND(#REF!,"AAAAAHW18xU=")</f>
        <v>#REF!</v>
      </c>
      <c r="W70" t="e">
        <f>AND(#REF!,"AAAAAHW18xY=")</f>
        <v>#REF!</v>
      </c>
      <c r="X70" t="e">
        <f>AND(#REF!,"AAAAAHW18xc=")</f>
        <v>#REF!</v>
      </c>
      <c r="Y70" t="e">
        <f>AND(#REF!,"AAAAAHW18xg=")</f>
        <v>#REF!</v>
      </c>
      <c r="Z70" t="e">
        <f>AND(#REF!,"AAAAAHW18xk=")</f>
        <v>#REF!</v>
      </c>
      <c r="AA70" t="e">
        <f>AND(#REF!,"AAAAAHW18xo=")</f>
        <v>#REF!</v>
      </c>
      <c r="AB70" t="e">
        <f>IF(#REF!,"AAAAAHW18xs=",0)</f>
        <v>#REF!</v>
      </c>
      <c r="AC70" t="e">
        <f>AND(#REF!,"AAAAAHW18xw=")</f>
        <v>#REF!</v>
      </c>
      <c r="AD70" t="e">
        <f>AND(#REF!,"AAAAAHW18x0=")</f>
        <v>#REF!</v>
      </c>
      <c r="AE70" t="e">
        <f>AND(#REF!,"AAAAAHW18x4=")</f>
        <v>#REF!</v>
      </c>
      <c r="AF70" t="e">
        <f>AND(#REF!,"AAAAAHW18x8=")</f>
        <v>#REF!</v>
      </c>
      <c r="AG70" t="e">
        <f>AND(#REF!,"AAAAAHW18yA=")</f>
        <v>#REF!</v>
      </c>
      <c r="AH70" t="e">
        <f>AND(#REF!,"AAAAAHW18yE=")</f>
        <v>#REF!</v>
      </c>
      <c r="AI70" t="e">
        <f>AND(#REF!,"AAAAAHW18yI=")</f>
        <v>#REF!</v>
      </c>
      <c r="AJ70" t="e">
        <f>AND(#REF!,"AAAAAHW18yM=")</f>
        <v>#REF!</v>
      </c>
      <c r="AK70" t="e">
        <f>AND(#REF!,"AAAAAHW18yQ=")</f>
        <v>#REF!</v>
      </c>
      <c r="AL70" t="e">
        <f>AND(#REF!,"AAAAAHW18yU=")</f>
        <v>#REF!</v>
      </c>
      <c r="AM70" t="e">
        <f>AND(#REF!,"AAAAAHW18yY=")</f>
        <v>#REF!</v>
      </c>
      <c r="AN70" t="e">
        <f>AND(#REF!,"AAAAAHW18yc=")</f>
        <v>#REF!</v>
      </c>
      <c r="AO70" t="e">
        <f>AND(#REF!,"AAAAAHW18yg=")</f>
        <v>#REF!</v>
      </c>
      <c r="AP70" t="e">
        <f>AND(#REF!,"AAAAAHW18yk=")</f>
        <v>#REF!</v>
      </c>
      <c r="AQ70" t="e">
        <f>IF(#REF!,"AAAAAHW18yo=",0)</f>
        <v>#REF!</v>
      </c>
      <c r="AR70" t="e">
        <f>AND(#REF!,"AAAAAHW18ys=")</f>
        <v>#REF!</v>
      </c>
      <c r="AS70" t="e">
        <f>AND(#REF!,"AAAAAHW18yw=")</f>
        <v>#REF!</v>
      </c>
      <c r="AT70" t="e">
        <f>AND(#REF!,"AAAAAHW18y0=")</f>
        <v>#REF!</v>
      </c>
      <c r="AU70" t="e">
        <f>AND(#REF!,"AAAAAHW18y4=")</f>
        <v>#REF!</v>
      </c>
      <c r="AV70" t="e">
        <f>AND(#REF!,"AAAAAHW18y8=")</f>
        <v>#REF!</v>
      </c>
      <c r="AW70" t="e">
        <f>AND(#REF!,"AAAAAHW18zA=")</f>
        <v>#REF!</v>
      </c>
      <c r="AX70" t="e">
        <f>AND(#REF!,"AAAAAHW18zE=")</f>
        <v>#REF!</v>
      </c>
      <c r="AY70" t="e">
        <f>AND(#REF!,"AAAAAHW18zI=")</f>
        <v>#REF!</v>
      </c>
      <c r="AZ70" t="e">
        <f>AND(#REF!,"AAAAAHW18zM=")</f>
        <v>#REF!</v>
      </c>
      <c r="BA70" t="e">
        <f>AND(#REF!,"AAAAAHW18zQ=")</f>
        <v>#REF!</v>
      </c>
      <c r="BB70" t="e">
        <f>AND(#REF!,"AAAAAHW18zU=")</f>
        <v>#REF!</v>
      </c>
      <c r="BC70" t="e">
        <f>AND(#REF!,"AAAAAHW18zY=")</f>
        <v>#REF!</v>
      </c>
      <c r="BD70" t="e">
        <f>AND(#REF!,"AAAAAHW18zc=")</f>
        <v>#REF!</v>
      </c>
      <c r="BE70" t="e">
        <f>AND(#REF!,"AAAAAHW18zg=")</f>
        <v>#REF!</v>
      </c>
      <c r="BF70" t="e">
        <f>IF(#REF!,"AAAAAHW18zk=",0)</f>
        <v>#REF!</v>
      </c>
      <c r="BG70" t="e">
        <f>AND(#REF!,"AAAAAHW18zo=")</f>
        <v>#REF!</v>
      </c>
      <c r="BH70" t="e">
        <f>AND(#REF!,"AAAAAHW18zs=")</f>
        <v>#REF!</v>
      </c>
      <c r="BI70" t="e">
        <f>AND(#REF!,"AAAAAHW18zw=")</f>
        <v>#REF!</v>
      </c>
      <c r="BJ70" t="e">
        <f>AND(#REF!,"AAAAAHW18z0=")</f>
        <v>#REF!</v>
      </c>
      <c r="BK70" t="e">
        <f>AND(#REF!,"AAAAAHW18z4=")</f>
        <v>#REF!</v>
      </c>
      <c r="BL70" t="e">
        <f>AND(#REF!,"AAAAAHW18z8=")</f>
        <v>#REF!</v>
      </c>
      <c r="BM70" t="e">
        <f>AND(#REF!,"AAAAAHW180A=")</f>
        <v>#REF!</v>
      </c>
      <c r="BN70" t="e">
        <f>AND(#REF!,"AAAAAHW180E=")</f>
        <v>#REF!</v>
      </c>
      <c r="BO70" t="e">
        <f>AND(#REF!,"AAAAAHW180I=")</f>
        <v>#REF!</v>
      </c>
      <c r="BP70" t="e">
        <f>AND(#REF!,"AAAAAHW180M=")</f>
        <v>#REF!</v>
      </c>
      <c r="BQ70" t="e">
        <f>AND(#REF!,"AAAAAHW180Q=")</f>
        <v>#REF!</v>
      </c>
      <c r="BR70" t="e">
        <f>AND(#REF!,"AAAAAHW180U=")</f>
        <v>#REF!</v>
      </c>
      <c r="BS70" t="e">
        <f>AND(#REF!,"AAAAAHW180Y=")</f>
        <v>#REF!</v>
      </c>
      <c r="BT70" t="e">
        <f>AND(#REF!,"AAAAAHW180c=")</f>
        <v>#REF!</v>
      </c>
      <c r="BU70" t="e">
        <f>IF(#REF!,"AAAAAHW180g=",0)</f>
        <v>#REF!</v>
      </c>
      <c r="BV70" t="e">
        <f>AND(#REF!,"AAAAAHW180k=")</f>
        <v>#REF!</v>
      </c>
      <c r="BW70" t="e">
        <f>AND(#REF!,"AAAAAHW180o=")</f>
        <v>#REF!</v>
      </c>
      <c r="BX70" t="e">
        <f>AND(#REF!,"AAAAAHW180s=")</f>
        <v>#REF!</v>
      </c>
      <c r="BY70" t="e">
        <f>AND(#REF!,"AAAAAHW180w=")</f>
        <v>#REF!</v>
      </c>
      <c r="BZ70" t="e">
        <f>AND(#REF!,"AAAAAHW1800=")</f>
        <v>#REF!</v>
      </c>
      <c r="CA70" t="e">
        <f>AND(#REF!,"AAAAAHW1804=")</f>
        <v>#REF!</v>
      </c>
      <c r="CB70" t="e">
        <f>AND(#REF!,"AAAAAHW1808=")</f>
        <v>#REF!</v>
      </c>
      <c r="CC70" t="e">
        <f>AND(#REF!,"AAAAAHW181A=")</f>
        <v>#REF!</v>
      </c>
      <c r="CD70" t="e">
        <f>AND(#REF!,"AAAAAHW181E=")</f>
        <v>#REF!</v>
      </c>
      <c r="CE70" t="e">
        <f>AND(#REF!,"AAAAAHW181I=")</f>
        <v>#REF!</v>
      </c>
      <c r="CF70" t="e">
        <f>AND(#REF!,"AAAAAHW181M=")</f>
        <v>#REF!</v>
      </c>
      <c r="CG70" t="e">
        <f>AND(#REF!,"AAAAAHW181Q=")</f>
        <v>#REF!</v>
      </c>
      <c r="CH70" t="e">
        <f>AND(#REF!,"AAAAAHW181U=")</f>
        <v>#REF!</v>
      </c>
      <c r="CI70" t="e">
        <f>AND(#REF!,"AAAAAHW181Y=")</f>
        <v>#REF!</v>
      </c>
      <c r="CJ70" t="e">
        <f>IF(#REF!,"AAAAAHW181c=",0)</f>
        <v>#REF!</v>
      </c>
      <c r="CK70" t="e">
        <f>AND(#REF!,"AAAAAHW181g=")</f>
        <v>#REF!</v>
      </c>
      <c r="CL70" t="e">
        <f>AND(#REF!,"AAAAAHW181k=")</f>
        <v>#REF!</v>
      </c>
      <c r="CM70" t="e">
        <f>AND(#REF!,"AAAAAHW181o=")</f>
        <v>#REF!</v>
      </c>
      <c r="CN70" t="e">
        <f>AND(#REF!,"AAAAAHW181s=")</f>
        <v>#REF!</v>
      </c>
      <c r="CO70" t="e">
        <f>AND(#REF!,"AAAAAHW181w=")</f>
        <v>#REF!</v>
      </c>
      <c r="CP70" t="e">
        <f>AND(#REF!,"AAAAAHW1810=")</f>
        <v>#REF!</v>
      </c>
      <c r="CQ70" t="e">
        <f>AND(#REF!,"AAAAAHW1814=")</f>
        <v>#REF!</v>
      </c>
      <c r="CR70" t="e">
        <f>AND(#REF!,"AAAAAHW1818=")</f>
        <v>#REF!</v>
      </c>
      <c r="CS70" t="e">
        <f>AND(#REF!,"AAAAAHW182A=")</f>
        <v>#REF!</v>
      </c>
      <c r="CT70" t="e">
        <f>AND(#REF!,"AAAAAHW182E=")</f>
        <v>#REF!</v>
      </c>
      <c r="CU70" t="e">
        <f>AND(#REF!,"AAAAAHW182I=")</f>
        <v>#REF!</v>
      </c>
      <c r="CV70" t="e">
        <f>AND(#REF!,"AAAAAHW182M=")</f>
        <v>#REF!</v>
      </c>
      <c r="CW70" t="e">
        <f>AND(#REF!,"AAAAAHW182Q=")</f>
        <v>#REF!</v>
      </c>
      <c r="CX70" t="e">
        <f>AND(#REF!,"AAAAAHW182U=")</f>
        <v>#REF!</v>
      </c>
      <c r="CY70" t="e">
        <f>IF(#REF!,"AAAAAHW182Y=",0)</f>
        <v>#REF!</v>
      </c>
      <c r="CZ70" t="e">
        <f>AND(#REF!,"AAAAAHW182c=")</f>
        <v>#REF!</v>
      </c>
      <c r="DA70" t="e">
        <f>AND(#REF!,"AAAAAHW182g=")</f>
        <v>#REF!</v>
      </c>
      <c r="DB70" t="e">
        <f>AND(#REF!,"AAAAAHW182k=")</f>
        <v>#REF!</v>
      </c>
      <c r="DC70" t="e">
        <f>AND(#REF!,"AAAAAHW182o=")</f>
        <v>#REF!</v>
      </c>
      <c r="DD70" t="e">
        <f>AND(#REF!,"AAAAAHW182s=")</f>
        <v>#REF!</v>
      </c>
      <c r="DE70" t="e">
        <f>AND(#REF!,"AAAAAHW182w=")</f>
        <v>#REF!</v>
      </c>
      <c r="DF70" t="e">
        <f>AND(#REF!,"AAAAAHW1820=")</f>
        <v>#REF!</v>
      </c>
      <c r="DG70" t="e">
        <f>AND(#REF!,"AAAAAHW1824=")</f>
        <v>#REF!</v>
      </c>
      <c r="DH70" t="e">
        <f>AND(#REF!,"AAAAAHW1828=")</f>
        <v>#REF!</v>
      </c>
      <c r="DI70" t="e">
        <f>AND(#REF!,"AAAAAHW183A=")</f>
        <v>#REF!</v>
      </c>
      <c r="DJ70" t="e">
        <f>AND(#REF!,"AAAAAHW183E=")</f>
        <v>#REF!</v>
      </c>
      <c r="DK70" t="e">
        <f>AND(#REF!,"AAAAAHW183I=")</f>
        <v>#REF!</v>
      </c>
      <c r="DL70" t="e">
        <f>AND(#REF!,"AAAAAHW183M=")</f>
        <v>#REF!</v>
      </c>
      <c r="DM70" t="e">
        <f>AND(#REF!,"AAAAAHW183Q=")</f>
        <v>#REF!</v>
      </c>
      <c r="DN70" t="e">
        <f>IF(#REF!,"AAAAAHW183U=",0)</f>
        <v>#REF!</v>
      </c>
      <c r="DO70" t="e">
        <f>AND(#REF!,"AAAAAHW183Y=")</f>
        <v>#REF!</v>
      </c>
      <c r="DP70" t="e">
        <f>AND(#REF!,"AAAAAHW183c=")</f>
        <v>#REF!</v>
      </c>
      <c r="DQ70" t="e">
        <f>AND(#REF!,"AAAAAHW183g=")</f>
        <v>#REF!</v>
      </c>
      <c r="DR70" t="e">
        <f>AND(#REF!,"AAAAAHW183k=")</f>
        <v>#REF!</v>
      </c>
      <c r="DS70" t="e">
        <f>AND(#REF!,"AAAAAHW183o=")</f>
        <v>#REF!</v>
      </c>
      <c r="DT70" t="e">
        <f>AND(#REF!,"AAAAAHW183s=")</f>
        <v>#REF!</v>
      </c>
      <c r="DU70" t="e">
        <f>AND(#REF!,"AAAAAHW183w=")</f>
        <v>#REF!</v>
      </c>
      <c r="DV70" t="e">
        <f>AND(#REF!,"AAAAAHW1830=")</f>
        <v>#REF!</v>
      </c>
      <c r="DW70" t="e">
        <f>AND(#REF!,"AAAAAHW1834=")</f>
        <v>#REF!</v>
      </c>
      <c r="DX70" t="e">
        <f>AND(#REF!,"AAAAAHW1838=")</f>
        <v>#REF!</v>
      </c>
      <c r="DY70" t="e">
        <f>AND(#REF!,"AAAAAHW184A=")</f>
        <v>#REF!</v>
      </c>
      <c r="DZ70" t="e">
        <f>AND(#REF!,"AAAAAHW184E=")</f>
        <v>#REF!</v>
      </c>
      <c r="EA70" t="e">
        <f>AND(#REF!,"AAAAAHW184I=")</f>
        <v>#REF!</v>
      </c>
      <c r="EB70" t="e">
        <f>AND(#REF!,"AAAAAHW184M=")</f>
        <v>#REF!</v>
      </c>
      <c r="EC70" t="e">
        <f>IF(#REF!,"AAAAAHW184Q=",0)</f>
        <v>#REF!</v>
      </c>
      <c r="ED70" t="e">
        <f>AND(#REF!,"AAAAAHW184U=")</f>
        <v>#REF!</v>
      </c>
      <c r="EE70" t="e">
        <f>AND(#REF!,"AAAAAHW184Y=")</f>
        <v>#REF!</v>
      </c>
      <c r="EF70" t="e">
        <f>AND(#REF!,"AAAAAHW184c=")</f>
        <v>#REF!</v>
      </c>
      <c r="EG70" t="e">
        <f>AND(#REF!,"AAAAAHW184g=")</f>
        <v>#REF!</v>
      </c>
      <c r="EH70" t="e">
        <f>AND(#REF!,"AAAAAHW184k=")</f>
        <v>#REF!</v>
      </c>
      <c r="EI70" t="e">
        <f>AND(#REF!,"AAAAAHW184o=")</f>
        <v>#REF!</v>
      </c>
      <c r="EJ70" t="e">
        <f>AND(#REF!,"AAAAAHW184s=")</f>
        <v>#REF!</v>
      </c>
      <c r="EK70" t="e">
        <f>AND(#REF!,"AAAAAHW184w=")</f>
        <v>#REF!</v>
      </c>
      <c r="EL70" t="e">
        <f>AND(#REF!,"AAAAAHW1840=")</f>
        <v>#REF!</v>
      </c>
      <c r="EM70" t="e">
        <f>AND(#REF!,"AAAAAHW1844=")</f>
        <v>#REF!</v>
      </c>
      <c r="EN70" t="e">
        <f>AND(#REF!,"AAAAAHW1848=")</f>
        <v>#REF!</v>
      </c>
      <c r="EO70" t="e">
        <f>AND(#REF!,"AAAAAHW185A=")</f>
        <v>#REF!</v>
      </c>
      <c r="EP70" t="e">
        <f>AND(#REF!,"AAAAAHW185E=")</f>
        <v>#REF!</v>
      </c>
      <c r="EQ70" t="e">
        <f>AND(#REF!,"AAAAAHW185I=")</f>
        <v>#REF!</v>
      </c>
      <c r="ER70" t="e">
        <f>IF(#REF!,"AAAAAHW185M=",0)</f>
        <v>#REF!</v>
      </c>
      <c r="ES70" t="e">
        <f>AND(#REF!,"AAAAAHW185Q=")</f>
        <v>#REF!</v>
      </c>
      <c r="ET70" t="e">
        <f>AND(#REF!,"AAAAAHW185U=")</f>
        <v>#REF!</v>
      </c>
      <c r="EU70" t="e">
        <f>AND(#REF!,"AAAAAHW185Y=")</f>
        <v>#REF!</v>
      </c>
      <c r="EV70" t="e">
        <f>AND(#REF!,"AAAAAHW185c=")</f>
        <v>#REF!</v>
      </c>
      <c r="EW70" t="e">
        <f>AND(#REF!,"AAAAAHW185g=")</f>
        <v>#REF!</v>
      </c>
      <c r="EX70" t="e">
        <f>AND(#REF!,"AAAAAHW185k=")</f>
        <v>#REF!</v>
      </c>
      <c r="EY70" t="e">
        <f>AND(#REF!,"AAAAAHW185o=")</f>
        <v>#REF!</v>
      </c>
      <c r="EZ70" t="e">
        <f>AND(#REF!,"AAAAAHW185s=")</f>
        <v>#REF!</v>
      </c>
      <c r="FA70" t="e">
        <f>AND(#REF!,"AAAAAHW185w=")</f>
        <v>#REF!</v>
      </c>
      <c r="FB70" t="e">
        <f>AND(#REF!,"AAAAAHW1850=")</f>
        <v>#REF!</v>
      </c>
      <c r="FC70" t="e">
        <f>AND(#REF!,"AAAAAHW1854=")</f>
        <v>#REF!</v>
      </c>
      <c r="FD70" t="e">
        <f>AND(#REF!,"AAAAAHW1858=")</f>
        <v>#REF!</v>
      </c>
      <c r="FE70" t="e">
        <f>AND(#REF!,"AAAAAHW186A=")</f>
        <v>#REF!</v>
      </c>
      <c r="FF70" t="e">
        <f>AND(#REF!,"AAAAAHW186E=")</f>
        <v>#REF!</v>
      </c>
      <c r="FG70" t="e">
        <f>IF(#REF!,"AAAAAHW186I=",0)</f>
        <v>#REF!</v>
      </c>
      <c r="FH70" t="e">
        <f>AND(#REF!,"AAAAAHW186M=")</f>
        <v>#REF!</v>
      </c>
      <c r="FI70" t="e">
        <f>AND(#REF!,"AAAAAHW186Q=")</f>
        <v>#REF!</v>
      </c>
      <c r="FJ70" t="e">
        <f>AND(#REF!,"AAAAAHW186U=")</f>
        <v>#REF!</v>
      </c>
      <c r="FK70" t="e">
        <f>AND(#REF!,"AAAAAHW186Y=")</f>
        <v>#REF!</v>
      </c>
      <c r="FL70" t="e">
        <f>AND(#REF!,"AAAAAHW186c=")</f>
        <v>#REF!</v>
      </c>
      <c r="FM70" t="e">
        <f>AND(#REF!,"AAAAAHW186g=")</f>
        <v>#REF!</v>
      </c>
      <c r="FN70" t="e">
        <f>AND(#REF!,"AAAAAHW186k=")</f>
        <v>#REF!</v>
      </c>
      <c r="FO70" t="e">
        <f>AND(#REF!,"AAAAAHW186o=")</f>
        <v>#REF!</v>
      </c>
      <c r="FP70" t="e">
        <f>AND(#REF!,"AAAAAHW186s=")</f>
        <v>#REF!</v>
      </c>
      <c r="FQ70" t="e">
        <f>AND(#REF!,"AAAAAHW186w=")</f>
        <v>#REF!</v>
      </c>
      <c r="FR70" t="e">
        <f>AND(#REF!,"AAAAAHW1860=")</f>
        <v>#REF!</v>
      </c>
      <c r="FS70" t="e">
        <f>AND(#REF!,"AAAAAHW1864=")</f>
        <v>#REF!</v>
      </c>
      <c r="FT70" t="e">
        <f>AND(#REF!,"AAAAAHW1868=")</f>
        <v>#REF!</v>
      </c>
      <c r="FU70" t="e">
        <f>AND(#REF!,"AAAAAHW187A=")</f>
        <v>#REF!</v>
      </c>
      <c r="FV70" t="e">
        <f>IF(#REF!,"AAAAAHW187E=",0)</f>
        <v>#REF!</v>
      </c>
      <c r="FW70" t="e">
        <f>AND(#REF!,"AAAAAHW187I=")</f>
        <v>#REF!</v>
      </c>
      <c r="FX70" t="e">
        <f>AND(#REF!,"AAAAAHW187M=")</f>
        <v>#REF!</v>
      </c>
      <c r="FY70" t="e">
        <f>AND(#REF!,"AAAAAHW187Q=")</f>
        <v>#REF!</v>
      </c>
      <c r="FZ70" t="e">
        <f>AND(#REF!,"AAAAAHW187U=")</f>
        <v>#REF!</v>
      </c>
      <c r="GA70" t="e">
        <f>AND(#REF!,"AAAAAHW187Y=")</f>
        <v>#REF!</v>
      </c>
      <c r="GB70" t="e">
        <f>AND(#REF!,"AAAAAHW187c=")</f>
        <v>#REF!</v>
      </c>
      <c r="GC70" t="e">
        <f>AND(#REF!,"AAAAAHW187g=")</f>
        <v>#REF!</v>
      </c>
      <c r="GD70" t="e">
        <f>AND(#REF!,"AAAAAHW187k=")</f>
        <v>#REF!</v>
      </c>
      <c r="GE70" t="e">
        <f>AND(#REF!,"AAAAAHW187o=")</f>
        <v>#REF!</v>
      </c>
      <c r="GF70" t="e">
        <f>AND(#REF!,"AAAAAHW187s=")</f>
        <v>#REF!</v>
      </c>
      <c r="GG70" t="e">
        <f>AND(#REF!,"AAAAAHW187w=")</f>
        <v>#REF!</v>
      </c>
      <c r="GH70" t="e">
        <f>AND(#REF!,"AAAAAHW1870=")</f>
        <v>#REF!</v>
      </c>
      <c r="GI70" t="e">
        <f>AND(#REF!,"AAAAAHW1874=")</f>
        <v>#REF!</v>
      </c>
      <c r="GJ70" t="e">
        <f>AND(#REF!,"AAAAAHW1878=")</f>
        <v>#REF!</v>
      </c>
      <c r="GK70" t="e">
        <f>IF(#REF!,"AAAAAHW188A=",0)</f>
        <v>#REF!</v>
      </c>
      <c r="GL70" t="e">
        <f>AND(#REF!,"AAAAAHW188E=")</f>
        <v>#REF!</v>
      </c>
      <c r="GM70" t="e">
        <f>AND(#REF!,"AAAAAHW188I=")</f>
        <v>#REF!</v>
      </c>
      <c r="GN70" t="e">
        <f>AND(#REF!,"AAAAAHW188M=")</f>
        <v>#REF!</v>
      </c>
      <c r="GO70" t="e">
        <f>AND(#REF!,"AAAAAHW188Q=")</f>
        <v>#REF!</v>
      </c>
      <c r="GP70" t="e">
        <f>AND(#REF!,"AAAAAHW188U=")</f>
        <v>#REF!</v>
      </c>
      <c r="GQ70" t="e">
        <f>AND(#REF!,"AAAAAHW188Y=")</f>
        <v>#REF!</v>
      </c>
      <c r="GR70" t="e">
        <f>AND(#REF!,"AAAAAHW188c=")</f>
        <v>#REF!</v>
      </c>
      <c r="GS70" t="e">
        <f>AND(#REF!,"AAAAAHW188g=")</f>
        <v>#REF!</v>
      </c>
      <c r="GT70" t="e">
        <f>AND(#REF!,"AAAAAHW188k=")</f>
        <v>#REF!</v>
      </c>
      <c r="GU70" t="e">
        <f>AND(#REF!,"AAAAAHW188o=")</f>
        <v>#REF!</v>
      </c>
      <c r="GV70" t="e">
        <f>AND(#REF!,"AAAAAHW188s=")</f>
        <v>#REF!</v>
      </c>
      <c r="GW70" t="e">
        <f>AND(#REF!,"AAAAAHW188w=")</f>
        <v>#REF!</v>
      </c>
      <c r="GX70" t="e">
        <f>AND(#REF!,"AAAAAHW1880=")</f>
        <v>#REF!</v>
      </c>
      <c r="GY70" t="e">
        <f>AND(#REF!,"AAAAAHW1884=")</f>
        <v>#REF!</v>
      </c>
      <c r="GZ70" t="e">
        <f>IF(#REF!,"AAAAAHW1888=",0)</f>
        <v>#REF!</v>
      </c>
      <c r="HA70" t="e">
        <f>AND(#REF!,"AAAAAHW189A=")</f>
        <v>#REF!</v>
      </c>
      <c r="HB70" t="e">
        <f>AND(#REF!,"AAAAAHW189E=")</f>
        <v>#REF!</v>
      </c>
      <c r="HC70" t="e">
        <f>AND(#REF!,"AAAAAHW189I=")</f>
        <v>#REF!</v>
      </c>
      <c r="HD70" t="e">
        <f>AND(#REF!,"AAAAAHW189M=")</f>
        <v>#REF!</v>
      </c>
      <c r="HE70" t="e">
        <f>AND(#REF!,"AAAAAHW189Q=")</f>
        <v>#REF!</v>
      </c>
      <c r="HF70" t="e">
        <f>AND(#REF!,"AAAAAHW189U=")</f>
        <v>#REF!</v>
      </c>
      <c r="HG70" t="e">
        <f>AND(#REF!,"AAAAAHW189Y=")</f>
        <v>#REF!</v>
      </c>
      <c r="HH70" t="e">
        <f>AND(#REF!,"AAAAAHW189c=")</f>
        <v>#REF!</v>
      </c>
      <c r="HI70" t="e">
        <f>AND(#REF!,"AAAAAHW189g=")</f>
        <v>#REF!</v>
      </c>
      <c r="HJ70" t="e">
        <f>AND(#REF!,"AAAAAHW189k=")</f>
        <v>#REF!</v>
      </c>
      <c r="HK70" t="e">
        <f>AND(#REF!,"AAAAAHW189o=")</f>
        <v>#REF!</v>
      </c>
      <c r="HL70" t="e">
        <f>AND(#REF!,"AAAAAHW189s=")</f>
        <v>#REF!</v>
      </c>
      <c r="HM70" t="e">
        <f>AND(#REF!,"AAAAAHW189w=")</f>
        <v>#REF!</v>
      </c>
      <c r="HN70" t="e">
        <f>AND(#REF!,"AAAAAHW1890=")</f>
        <v>#REF!</v>
      </c>
      <c r="HO70" t="e">
        <f>IF(#REF!,"AAAAAHW1894=",0)</f>
        <v>#REF!</v>
      </c>
      <c r="HP70" t="e">
        <f>AND(#REF!,"AAAAAHW1898=")</f>
        <v>#REF!</v>
      </c>
      <c r="HQ70" t="e">
        <f>AND(#REF!,"AAAAAHW18+A=")</f>
        <v>#REF!</v>
      </c>
      <c r="HR70" t="e">
        <f>AND(#REF!,"AAAAAHW18+E=")</f>
        <v>#REF!</v>
      </c>
      <c r="HS70" t="e">
        <f>AND(#REF!,"AAAAAHW18+I=")</f>
        <v>#REF!</v>
      </c>
      <c r="HT70" t="e">
        <f>AND(#REF!,"AAAAAHW18+M=")</f>
        <v>#REF!</v>
      </c>
      <c r="HU70" t="e">
        <f>AND(#REF!,"AAAAAHW18+Q=")</f>
        <v>#REF!</v>
      </c>
      <c r="HV70" t="e">
        <f>AND(#REF!,"AAAAAHW18+U=")</f>
        <v>#REF!</v>
      </c>
      <c r="HW70" t="e">
        <f>AND(#REF!,"AAAAAHW18+Y=")</f>
        <v>#REF!</v>
      </c>
      <c r="HX70" t="e">
        <f>AND(#REF!,"AAAAAHW18+c=")</f>
        <v>#REF!</v>
      </c>
      <c r="HY70" t="e">
        <f>AND(#REF!,"AAAAAHW18+g=")</f>
        <v>#REF!</v>
      </c>
      <c r="HZ70" t="e">
        <f>AND(#REF!,"AAAAAHW18+k=")</f>
        <v>#REF!</v>
      </c>
      <c r="IA70" t="e">
        <f>AND(#REF!,"AAAAAHW18+o=")</f>
        <v>#REF!</v>
      </c>
      <c r="IB70" t="e">
        <f>AND(#REF!,"AAAAAHW18+s=")</f>
        <v>#REF!</v>
      </c>
      <c r="IC70" t="e">
        <f>AND(#REF!,"AAAAAHW18+w=")</f>
        <v>#REF!</v>
      </c>
      <c r="ID70" t="e">
        <f>IF(#REF!,"AAAAAHW18+0=",0)</f>
        <v>#REF!</v>
      </c>
      <c r="IE70" t="e">
        <f>AND(#REF!,"AAAAAHW18+4=")</f>
        <v>#REF!</v>
      </c>
      <c r="IF70" t="e">
        <f>AND(#REF!,"AAAAAHW18+8=")</f>
        <v>#REF!</v>
      </c>
      <c r="IG70" t="e">
        <f>AND(#REF!,"AAAAAHW18/A=")</f>
        <v>#REF!</v>
      </c>
      <c r="IH70" t="e">
        <f>AND(#REF!,"AAAAAHW18/E=")</f>
        <v>#REF!</v>
      </c>
      <c r="II70" t="e">
        <f>AND(#REF!,"AAAAAHW18/I=")</f>
        <v>#REF!</v>
      </c>
      <c r="IJ70" t="e">
        <f>AND(#REF!,"AAAAAHW18/M=")</f>
        <v>#REF!</v>
      </c>
      <c r="IK70" t="e">
        <f>AND(#REF!,"AAAAAHW18/Q=")</f>
        <v>#REF!</v>
      </c>
      <c r="IL70" t="e">
        <f>AND(#REF!,"AAAAAHW18/U=")</f>
        <v>#REF!</v>
      </c>
      <c r="IM70" t="e">
        <f>AND(#REF!,"AAAAAHW18/Y=")</f>
        <v>#REF!</v>
      </c>
      <c r="IN70" t="e">
        <f>AND(#REF!,"AAAAAHW18/c=")</f>
        <v>#REF!</v>
      </c>
      <c r="IO70" t="e">
        <f>AND(#REF!,"AAAAAHW18/g=")</f>
        <v>#REF!</v>
      </c>
      <c r="IP70" t="e">
        <f>AND(#REF!,"AAAAAHW18/k=")</f>
        <v>#REF!</v>
      </c>
      <c r="IQ70" t="e">
        <f>AND(#REF!,"AAAAAHW18/o=")</f>
        <v>#REF!</v>
      </c>
      <c r="IR70" t="e">
        <f>AND(#REF!,"AAAAAHW18/s=")</f>
        <v>#REF!</v>
      </c>
      <c r="IS70" t="e">
        <f>IF(#REF!,"AAAAAHW18/w=",0)</f>
        <v>#REF!</v>
      </c>
      <c r="IT70" t="e">
        <f>AND(#REF!,"AAAAAHW18/0=")</f>
        <v>#REF!</v>
      </c>
      <c r="IU70" t="e">
        <f>AND(#REF!,"AAAAAHW18/4=")</f>
        <v>#REF!</v>
      </c>
      <c r="IV70" t="e">
        <f>AND(#REF!,"AAAAAHW18/8=")</f>
        <v>#REF!</v>
      </c>
    </row>
    <row r="71" spans="1:256" x14ac:dyDescent="0.15">
      <c r="A71" t="e">
        <f>AND(#REF!,"AAAAAB3P7wA=")</f>
        <v>#REF!</v>
      </c>
      <c r="B71" t="e">
        <f>AND(#REF!,"AAAAAB3P7wE=")</f>
        <v>#REF!</v>
      </c>
      <c r="C71" t="e">
        <f>AND(#REF!,"AAAAAB3P7wI=")</f>
        <v>#REF!</v>
      </c>
      <c r="D71" t="e">
        <f>AND(#REF!,"AAAAAB3P7wM=")</f>
        <v>#REF!</v>
      </c>
      <c r="E71" t="e">
        <f>AND(#REF!,"AAAAAB3P7wQ=")</f>
        <v>#REF!</v>
      </c>
      <c r="F71" t="e">
        <f>AND(#REF!,"AAAAAB3P7wU=")</f>
        <v>#REF!</v>
      </c>
      <c r="G71" t="e">
        <f>AND(#REF!,"AAAAAB3P7wY=")</f>
        <v>#REF!</v>
      </c>
      <c r="H71" t="e">
        <f>AND(#REF!,"AAAAAB3P7wc=")</f>
        <v>#REF!</v>
      </c>
      <c r="I71" t="e">
        <f>AND(#REF!,"AAAAAB3P7wg=")</f>
        <v>#REF!</v>
      </c>
      <c r="J71" t="e">
        <f>AND(#REF!,"AAAAAB3P7wk=")</f>
        <v>#REF!</v>
      </c>
      <c r="K71" t="e">
        <f>AND(#REF!,"AAAAAB3P7wo=")</f>
        <v>#REF!</v>
      </c>
      <c r="L71" t="e">
        <f>IF(#REF!,"AAAAAB3P7ws=",0)</f>
        <v>#REF!</v>
      </c>
      <c r="M71" t="e">
        <f>AND(#REF!,"AAAAAB3P7ww=")</f>
        <v>#REF!</v>
      </c>
      <c r="N71" t="e">
        <f>AND(#REF!,"AAAAAB3P7w0=")</f>
        <v>#REF!</v>
      </c>
      <c r="O71" t="e">
        <f>AND(#REF!,"AAAAAB3P7w4=")</f>
        <v>#REF!</v>
      </c>
      <c r="P71" t="e">
        <f>AND(#REF!,"AAAAAB3P7w8=")</f>
        <v>#REF!</v>
      </c>
      <c r="Q71" t="e">
        <f>AND(#REF!,"AAAAAB3P7xA=")</f>
        <v>#REF!</v>
      </c>
      <c r="R71" t="e">
        <f>AND(#REF!,"AAAAAB3P7xE=")</f>
        <v>#REF!</v>
      </c>
      <c r="S71" t="e">
        <f>AND(#REF!,"AAAAAB3P7xI=")</f>
        <v>#REF!</v>
      </c>
      <c r="T71" t="e">
        <f>AND(#REF!,"AAAAAB3P7xM=")</f>
        <v>#REF!</v>
      </c>
      <c r="U71" t="e">
        <f>AND(#REF!,"AAAAAB3P7xQ=")</f>
        <v>#REF!</v>
      </c>
      <c r="V71" t="e">
        <f>AND(#REF!,"AAAAAB3P7xU=")</f>
        <v>#REF!</v>
      </c>
      <c r="W71" t="e">
        <f>AND(#REF!,"AAAAAB3P7xY=")</f>
        <v>#REF!</v>
      </c>
      <c r="X71" t="e">
        <f>AND(#REF!,"AAAAAB3P7xc=")</f>
        <v>#REF!</v>
      </c>
      <c r="Y71" t="e">
        <f>AND(#REF!,"AAAAAB3P7xg=")</f>
        <v>#REF!</v>
      </c>
      <c r="Z71" t="e">
        <f>AND(#REF!,"AAAAAB3P7xk=")</f>
        <v>#REF!</v>
      </c>
      <c r="AA71" t="e">
        <f>IF(#REF!,"AAAAAB3P7xo=",0)</f>
        <v>#REF!</v>
      </c>
      <c r="AB71" t="e">
        <f>AND(#REF!,"AAAAAB3P7xs=")</f>
        <v>#REF!</v>
      </c>
      <c r="AC71" t="e">
        <f>AND(#REF!,"AAAAAB3P7xw=")</f>
        <v>#REF!</v>
      </c>
      <c r="AD71" t="e">
        <f>AND(#REF!,"AAAAAB3P7x0=")</f>
        <v>#REF!</v>
      </c>
      <c r="AE71" t="e">
        <f>AND(#REF!,"AAAAAB3P7x4=")</f>
        <v>#REF!</v>
      </c>
      <c r="AF71" t="e">
        <f>AND(#REF!,"AAAAAB3P7x8=")</f>
        <v>#REF!</v>
      </c>
      <c r="AG71" t="e">
        <f>AND(#REF!,"AAAAAB3P7yA=")</f>
        <v>#REF!</v>
      </c>
      <c r="AH71" t="e">
        <f>AND(#REF!,"AAAAAB3P7yE=")</f>
        <v>#REF!</v>
      </c>
      <c r="AI71" t="e">
        <f>AND(#REF!,"AAAAAB3P7yI=")</f>
        <v>#REF!</v>
      </c>
      <c r="AJ71" t="e">
        <f>AND(#REF!,"AAAAAB3P7yM=")</f>
        <v>#REF!</v>
      </c>
      <c r="AK71" t="e">
        <f>AND(#REF!,"AAAAAB3P7yQ=")</f>
        <v>#REF!</v>
      </c>
      <c r="AL71" t="e">
        <f>AND(#REF!,"AAAAAB3P7yU=")</f>
        <v>#REF!</v>
      </c>
      <c r="AM71" t="e">
        <f>AND(#REF!,"AAAAAB3P7yY=")</f>
        <v>#REF!</v>
      </c>
      <c r="AN71" t="e">
        <f>AND(#REF!,"AAAAAB3P7yc=")</f>
        <v>#REF!</v>
      </c>
      <c r="AO71" t="e">
        <f>AND(#REF!,"AAAAAB3P7yg=")</f>
        <v>#REF!</v>
      </c>
      <c r="AP71" t="e">
        <f>IF(#REF!,"AAAAAB3P7yk=",0)</f>
        <v>#REF!</v>
      </c>
      <c r="AQ71" t="e">
        <f>AND(#REF!,"AAAAAB3P7yo=")</f>
        <v>#REF!</v>
      </c>
      <c r="AR71" t="e">
        <f>AND(#REF!,"AAAAAB3P7ys=")</f>
        <v>#REF!</v>
      </c>
      <c r="AS71" t="e">
        <f>AND(#REF!,"AAAAAB3P7yw=")</f>
        <v>#REF!</v>
      </c>
      <c r="AT71" t="e">
        <f>AND(#REF!,"AAAAAB3P7y0=")</f>
        <v>#REF!</v>
      </c>
      <c r="AU71" t="e">
        <f>AND(#REF!,"AAAAAB3P7y4=")</f>
        <v>#REF!</v>
      </c>
      <c r="AV71" t="e">
        <f>AND(#REF!,"AAAAAB3P7y8=")</f>
        <v>#REF!</v>
      </c>
      <c r="AW71" t="e">
        <f>AND(#REF!,"AAAAAB3P7zA=")</f>
        <v>#REF!</v>
      </c>
      <c r="AX71" t="e">
        <f>AND(#REF!,"AAAAAB3P7zE=")</f>
        <v>#REF!</v>
      </c>
      <c r="AY71" t="e">
        <f>AND(#REF!,"AAAAAB3P7zI=")</f>
        <v>#REF!</v>
      </c>
      <c r="AZ71" t="e">
        <f>AND(#REF!,"AAAAAB3P7zM=")</f>
        <v>#REF!</v>
      </c>
      <c r="BA71" t="e">
        <f>AND(#REF!,"AAAAAB3P7zQ=")</f>
        <v>#REF!</v>
      </c>
      <c r="BB71" t="e">
        <f>AND(#REF!,"AAAAAB3P7zU=")</f>
        <v>#REF!</v>
      </c>
      <c r="BC71" t="e">
        <f>AND(#REF!,"AAAAAB3P7zY=")</f>
        <v>#REF!</v>
      </c>
      <c r="BD71" t="e">
        <f>AND(#REF!,"AAAAAB3P7zc=")</f>
        <v>#REF!</v>
      </c>
      <c r="BE71" t="e">
        <f>IF(#REF!,"AAAAAB3P7zg=",0)</f>
        <v>#REF!</v>
      </c>
      <c r="BF71" t="e">
        <f>AND(#REF!,"AAAAAB3P7zk=")</f>
        <v>#REF!</v>
      </c>
      <c r="BG71" t="e">
        <f>AND(#REF!,"AAAAAB3P7zo=")</f>
        <v>#REF!</v>
      </c>
      <c r="BH71" t="e">
        <f>AND(#REF!,"AAAAAB3P7zs=")</f>
        <v>#REF!</v>
      </c>
      <c r="BI71" t="e">
        <f>AND(#REF!,"AAAAAB3P7zw=")</f>
        <v>#REF!</v>
      </c>
      <c r="BJ71" t="e">
        <f>AND(#REF!,"AAAAAB3P7z0=")</f>
        <v>#REF!</v>
      </c>
      <c r="BK71" t="e">
        <f>AND(#REF!,"AAAAAB3P7z4=")</f>
        <v>#REF!</v>
      </c>
      <c r="BL71" t="e">
        <f>AND(#REF!,"AAAAAB3P7z8=")</f>
        <v>#REF!</v>
      </c>
      <c r="BM71" t="e">
        <f>AND(#REF!,"AAAAAB3P70A=")</f>
        <v>#REF!</v>
      </c>
      <c r="BN71" t="e">
        <f>AND(#REF!,"AAAAAB3P70E=")</f>
        <v>#REF!</v>
      </c>
      <c r="BO71" t="e">
        <f>AND(#REF!,"AAAAAB3P70I=")</f>
        <v>#REF!</v>
      </c>
      <c r="BP71" t="e">
        <f>AND(#REF!,"AAAAAB3P70M=")</f>
        <v>#REF!</v>
      </c>
      <c r="BQ71" t="e">
        <f>AND(#REF!,"AAAAAB3P70Q=")</f>
        <v>#REF!</v>
      </c>
      <c r="BR71" t="e">
        <f>AND(#REF!,"AAAAAB3P70U=")</f>
        <v>#REF!</v>
      </c>
      <c r="BS71" t="e">
        <f>AND(#REF!,"AAAAAB3P70Y=")</f>
        <v>#REF!</v>
      </c>
      <c r="BT71" t="e">
        <f>IF(#REF!,"AAAAAB3P70c=",0)</f>
        <v>#REF!</v>
      </c>
      <c r="BU71" t="e">
        <f>AND(#REF!,"AAAAAB3P70g=")</f>
        <v>#REF!</v>
      </c>
      <c r="BV71" t="e">
        <f>AND(#REF!,"AAAAAB3P70k=")</f>
        <v>#REF!</v>
      </c>
      <c r="BW71" t="e">
        <f>AND(#REF!,"AAAAAB3P70o=")</f>
        <v>#REF!</v>
      </c>
      <c r="BX71" t="e">
        <f>AND(#REF!,"AAAAAB3P70s=")</f>
        <v>#REF!</v>
      </c>
      <c r="BY71" t="e">
        <f>AND(#REF!,"AAAAAB3P70w=")</f>
        <v>#REF!</v>
      </c>
      <c r="BZ71" t="e">
        <f>AND(#REF!,"AAAAAB3P700=")</f>
        <v>#REF!</v>
      </c>
      <c r="CA71" t="e">
        <f>AND(#REF!,"AAAAAB3P704=")</f>
        <v>#REF!</v>
      </c>
      <c r="CB71" t="e">
        <f>AND(#REF!,"AAAAAB3P708=")</f>
        <v>#REF!</v>
      </c>
      <c r="CC71" t="e">
        <f>AND(#REF!,"AAAAAB3P71A=")</f>
        <v>#REF!</v>
      </c>
      <c r="CD71" t="e">
        <f>AND(#REF!,"AAAAAB3P71E=")</f>
        <v>#REF!</v>
      </c>
      <c r="CE71" t="e">
        <f>AND(#REF!,"AAAAAB3P71I=")</f>
        <v>#REF!</v>
      </c>
      <c r="CF71" t="e">
        <f>AND(#REF!,"AAAAAB3P71M=")</f>
        <v>#REF!</v>
      </c>
      <c r="CG71" t="e">
        <f>AND(#REF!,"AAAAAB3P71Q=")</f>
        <v>#REF!</v>
      </c>
      <c r="CH71" t="e">
        <f>AND(#REF!,"AAAAAB3P71U=")</f>
        <v>#REF!</v>
      </c>
      <c r="CI71" t="e">
        <f>IF(#REF!,"AAAAAB3P71Y=",0)</f>
        <v>#REF!</v>
      </c>
      <c r="CJ71" t="e">
        <f>AND(#REF!,"AAAAAB3P71c=")</f>
        <v>#REF!</v>
      </c>
      <c r="CK71" t="e">
        <f>AND(#REF!,"AAAAAB3P71g=")</f>
        <v>#REF!</v>
      </c>
      <c r="CL71" t="e">
        <f>AND(#REF!,"AAAAAB3P71k=")</f>
        <v>#REF!</v>
      </c>
      <c r="CM71" t="e">
        <f>AND(#REF!,"AAAAAB3P71o=")</f>
        <v>#REF!</v>
      </c>
      <c r="CN71" t="e">
        <f>AND(#REF!,"AAAAAB3P71s=")</f>
        <v>#REF!</v>
      </c>
      <c r="CO71" t="e">
        <f>AND(#REF!,"AAAAAB3P71w=")</f>
        <v>#REF!</v>
      </c>
      <c r="CP71" t="e">
        <f>AND(#REF!,"AAAAAB3P710=")</f>
        <v>#REF!</v>
      </c>
      <c r="CQ71" t="e">
        <f>AND(#REF!,"AAAAAB3P714=")</f>
        <v>#REF!</v>
      </c>
      <c r="CR71" t="e">
        <f>AND(#REF!,"AAAAAB3P718=")</f>
        <v>#REF!</v>
      </c>
      <c r="CS71" t="e">
        <f>AND(#REF!,"AAAAAB3P72A=")</f>
        <v>#REF!</v>
      </c>
      <c r="CT71" t="e">
        <f>AND(#REF!,"AAAAAB3P72E=")</f>
        <v>#REF!</v>
      </c>
      <c r="CU71" t="e">
        <f>AND(#REF!,"AAAAAB3P72I=")</f>
        <v>#REF!</v>
      </c>
      <c r="CV71" t="e">
        <f>AND(#REF!,"AAAAAB3P72M=")</f>
        <v>#REF!</v>
      </c>
      <c r="CW71" t="e">
        <f>AND(#REF!,"AAAAAB3P72Q=")</f>
        <v>#REF!</v>
      </c>
      <c r="CX71" t="e">
        <f>IF(#REF!,"AAAAAB3P72U=",0)</f>
        <v>#REF!</v>
      </c>
      <c r="CY71" t="e">
        <f>AND(#REF!,"AAAAAB3P72Y=")</f>
        <v>#REF!</v>
      </c>
      <c r="CZ71" t="e">
        <f>AND(#REF!,"AAAAAB3P72c=")</f>
        <v>#REF!</v>
      </c>
      <c r="DA71" t="e">
        <f>AND(#REF!,"AAAAAB3P72g=")</f>
        <v>#REF!</v>
      </c>
      <c r="DB71" t="e">
        <f>AND(#REF!,"AAAAAB3P72k=")</f>
        <v>#REF!</v>
      </c>
      <c r="DC71" t="e">
        <f>AND(#REF!,"AAAAAB3P72o=")</f>
        <v>#REF!</v>
      </c>
      <c r="DD71" t="e">
        <f>AND(#REF!,"AAAAAB3P72s=")</f>
        <v>#REF!</v>
      </c>
      <c r="DE71" t="e">
        <f>AND(#REF!,"AAAAAB3P72w=")</f>
        <v>#REF!</v>
      </c>
      <c r="DF71" t="e">
        <f>AND(#REF!,"AAAAAB3P720=")</f>
        <v>#REF!</v>
      </c>
      <c r="DG71" t="e">
        <f>AND(#REF!,"AAAAAB3P724=")</f>
        <v>#REF!</v>
      </c>
      <c r="DH71" t="e">
        <f>AND(#REF!,"AAAAAB3P728=")</f>
        <v>#REF!</v>
      </c>
      <c r="DI71" t="e">
        <f>AND(#REF!,"AAAAAB3P73A=")</f>
        <v>#REF!</v>
      </c>
      <c r="DJ71" t="e">
        <f>AND(#REF!,"AAAAAB3P73E=")</f>
        <v>#REF!</v>
      </c>
      <c r="DK71" t="e">
        <f>AND(#REF!,"AAAAAB3P73I=")</f>
        <v>#REF!</v>
      </c>
      <c r="DL71" t="e">
        <f>AND(#REF!,"AAAAAB3P73M=")</f>
        <v>#REF!</v>
      </c>
      <c r="DM71" t="e">
        <f>IF(#REF!,"AAAAAB3P73Q=",0)</f>
        <v>#REF!</v>
      </c>
      <c r="DN71" t="e">
        <f>AND(#REF!,"AAAAAB3P73U=")</f>
        <v>#REF!</v>
      </c>
      <c r="DO71" t="e">
        <f>AND(#REF!,"AAAAAB3P73Y=")</f>
        <v>#REF!</v>
      </c>
      <c r="DP71" t="e">
        <f>AND(#REF!,"AAAAAB3P73c=")</f>
        <v>#REF!</v>
      </c>
      <c r="DQ71" t="e">
        <f>AND(#REF!,"AAAAAB3P73g=")</f>
        <v>#REF!</v>
      </c>
      <c r="DR71" t="e">
        <f>AND(#REF!,"AAAAAB3P73k=")</f>
        <v>#REF!</v>
      </c>
      <c r="DS71" t="e">
        <f>AND(#REF!,"AAAAAB3P73o=")</f>
        <v>#REF!</v>
      </c>
      <c r="DT71" t="e">
        <f>AND(#REF!,"AAAAAB3P73s=")</f>
        <v>#REF!</v>
      </c>
      <c r="DU71" t="e">
        <f>AND(#REF!,"AAAAAB3P73w=")</f>
        <v>#REF!</v>
      </c>
      <c r="DV71" t="e">
        <f>AND(#REF!,"AAAAAB3P730=")</f>
        <v>#REF!</v>
      </c>
      <c r="DW71" t="e">
        <f>AND(#REF!,"AAAAAB3P734=")</f>
        <v>#REF!</v>
      </c>
      <c r="DX71" t="e">
        <f>AND(#REF!,"AAAAAB3P738=")</f>
        <v>#REF!</v>
      </c>
      <c r="DY71" t="e">
        <f>AND(#REF!,"AAAAAB3P74A=")</f>
        <v>#REF!</v>
      </c>
      <c r="DZ71" t="e">
        <f>AND(#REF!,"AAAAAB3P74E=")</f>
        <v>#REF!</v>
      </c>
      <c r="EA71" t="e">
        <f>AND(#REF!,"AAAAAB3P74I=")</f>
        <v>#REF!</v>
      </c>
      <c r="EB71" t="e">
        <f>IF(#REF!,"AAAAAB3P74M=",0)</f>
        <v>#REF!</v>
      </c>
      <c r="EC71" t="e">
        <f>AND(#REF!,"AAAAAB3P74Q=")</f>
        <v>#REF!</v>
      </c>
      <c r="ED71" t="e">
        <f>AND(#REF!,"AAAAAB3P74U=")</f>
        <v>#REF!</v>
      </c>
      <c r="EE71" t="e">
        <f>AND(#REF!,"AAAAAB3P74Y=")</f>
        <v>#REF!</v>
      </c>
      <c r="EF71" t="e">
        <f>AND(#REF!,"AAAAAB3P74c=")</f>
        <v>#REF!</v>
      </c>
      <c r="EG71" t="e">
        <f>AND(#REF!,"AAAAAB3P74g=")</f>
        <v>#REF!</v>
      </c>
      <c r="EH71" t="e">
        <f>AND(#REF!,"AAAAAB3P74k=")</f>
        <v>#REF!</v>
      </c>
      <c r="EI71" t="e">
        <f>AND(#REF!,"AAAAAB3P74o=")</f>
        <v>#REF!</v>
      </c>
      <c r="EJ71" t="e">
        <f>AND(#REF!,"AAAAAB3P74s=")</f>
        <v>#REF!</v>
      </c>
      <c r="EK71" t="e">
        <f>AND(#REF!,"AAAAAB3P74w=")</f>
        <v>#REF!</v>
      </c>
      <c r="EL71" t="e">
        <f>AND(#REF!,"AAAAAB3P740=")</f>
        <v>#REF!</v>
      </c>
      <c r="EM71" t="e">
        <f>AND(#REF!,"AAAAAB3P744=")</f>
        <v>#REF!</v>
      </c>
      <c r="EN71" t="e">
        <f>AND(#REF!,"AAAAAB3P748=")</f>
        <v>#REF!</v>
      </c>
      <c r="EO71" t="e">
        <f>AND(#REF!,"AAAAAB3P75A=")</f>
        <v>#REF!</v>
      </c>
      <c r="EP71" t="e">
        <f>AND(#REF!,"AAAAAB3P75E=")</f>
        <v>#REF!</v>
      </c>
      <c r="EQ71" t="e">
        <f>IF(#REF!,"AAAAAB3P75I=",0)</f>
        <v>#REF!</v>
      </c>
      <c r="ER71" t="e">
        <f>AND(#REF!,"AAAAAB3P75M=")</f>
        <v>#REF!</v>
      </c>
      <c r="ES71" t="e">
        <f>AND(#REF!,"AAAAAB3P75Q=")</f>
        <v>#REF!</v>
      </c>
      <c r="ET71" t="e">
        <f>AND(#REF!,"AAAAAB3P75U=")</f>
        <v>#REF!</v>
      </c>
      <c r="EU71" t="e">
        <f>AND(#REF!,"AAAAAB3P75Y=")</f>
        <v>#REF!</v>
      </c>
      <c r="EV71" t="e">
        <f>AND(#REF!,"AAAAAB3P75c=")</f>
        <v>#REF!</v>
      </c>
      <c r="EW71" t="e">
        <f>AND(#REF!,"AAAAAB3P75g=")</f>
        <v>#REF!</v>
      </c>
      <c r="EX71" t="e">
        <f>AND(#REF!,"AAAAAB3P75k=")</f>
        <v>#REF!</v>
      </c>
      <c r="EY71" t="e">
        <f>AND(#REF!,"AAAAAB3P75o=")</f>
        <v>#REF!</v>
      </c>
      <c r="EZ71" t="e">
        <f>AND(#REF!,"AAAAAB3P75s=")</f>
        <v>#REF!</v>
      </c>
      <c r="FA71" t="e">
        <f>AND(#REF!,"AAAAAB3P75w=")</f>
        <v>#REF!</v>
      </c>
      <c r="FB71" t="e">
        <f>AND(#REF!,"AAAAAB3P750=")</f>
        <v>#REF!</v>
      </c>
      <c r="FC71" t="e">
        <f>AND(#REF!,"AAAAAB3P754=")</f>
        <v>#REF!</v>
      </c>
      <c r="FD71" t="e">
        <f>AND(#REF!,"AAAAAB3P758=")</f>
        <v>#REF!</v>
      </c>
      <c r="FE71" t="e">
        <f>AND(#REF!,"AAAAAB3P76A=")</f>
        <v>#REF!</v>
      </c>
      <c r="FF71" t="e">
        <f>IF(#REF!,"AAAAAB3P76E=",0)</f>
        <v>#REF!</v>
      </c>
      <c r="FG71" t="e">
        <f>AND(#REF!,"AAAAAB3P76I=")</f>
        <v>#REF!</v>
      </c>
      <c r="FH71" t="e">
        <f>AND(#REF!,"AAAAAB3P76M=")</f>
        <v>#REF!</v>
      </c>
      <c r="FI71" t="e">
        <f>AND(#REF!,"AAAAAB3P76Q=")</f>
        <v>#REF!</v>
      </c>
      <c r="FJ71" t="e">
        <f>AND(#REF!,"AAAAAB3P76U=")</f>
        <v>#REF!</v>
      </c>
      <c r="FK71" t="e">
        <f>AND(#REF!,"AAAAAB3P76Y=")</f>
        <v>#REF!</v>
      </c>
      <c r="FL71" t="e">
        <f>AND(#REF!,"AAAAAB3P76c=")</f>
        <v>#REF!</v>
      </c>
      <c r="FM71" t="e">
        <f>AND(#REF!,"AAAAAB3P76g=")</f>
        <v>#REF!</v>
      </c>
      <c r="FN71" t="e">
        <f>AND(#REF!,"AAAAAB3P76k=")</f>
        <v>#REF!</v>
      </c>
      <c r="FO71" t="e">
        <f>AND(#REF!,"AAAAAB3P76o=")</f>
        <v>#REF!</v>
      </c>
      <c r="FP71" t="e">
        <f>AND(#REF!,"AAAAAB3P76s=")</f>
        <v>#REF!</v>
      </c>
      <c r="FQ71" t="e">
        <f>AND(#REF!,"AAAAAB3P76w=")</f>
        <v>#REF!</v>
      </c>
      <c r="FR71" t="e">
        <f>AND(#REF!,"AAAAAB3P760=")</f>
        <v>#REF!</v>
      </c>
      <c r="FS71" t="e">
        <f>AND(#REF!,"AAAAAB3P764=")</f>
        <v>#REF!</v>
      </c>
      <c r="FT71" t="e">
        <f>AND(#REF!,"AAAAAB3P768=")</f>
        <v>#REF!</v>
      </c>
      <c r="FU71" t="e">
        <f>IF(#REF!,"AAAAAB3P77A=",0)</f>
        <v>#REF!</v>
      </c>
      <c r="FV71" t="e">
        <f>AND(#REF!,"AAAAAB3P77E=")</f>
        <v>#REF!</v>
      </c>
      <c r="FW71" t="e">
        <f>AND(#REF!,"AAAAAB3P77I=")</f>
        <v>#REF!</v>
      </c>
      <c r="FX71" t="e">
        <f>AND(#REF!,"AAAAAB3P77M=")</f>
        <v>#REF!</v>
      </c>
      <c r="FY71" t="e">
        <f>AND(#REF!,"AAAAAB3P77Q=")</f>
        <v>#REF!</v>
      </c>
      <c r="FZ71" t="e">
        <f>AND(#REF!,"AAAAAB3P77U=")</f>
        <v>#REF!</v>
      </c>
      <c r="GA71" t="e">
        <f>AND(#REF!,"AAAAAB3P77Y=")</f>
        <v>#REF!</v>
      </c>
      <c r="GB71" t="e">
        <f>AND(#REF!,"AAAAAB3P77c=")</f>
        <v>#REF!</v>
      </c>
      <c r="GC71" t="e">
        <f>AND(#REF!,"AAAAAB3P77g=")</f>
        <v>#REF!</v>
      </c>
      <c r="GD71" t="e">
        <f>AND(#REF!,"AAAAAB3P77k=")</f>
        <v>#REF!</v>
      </c>
      <c r="GE71" t="e">
        <f>AND(#REF!,"AAAAAB3P77o=")</f>
        <v>#REF!</v>
      </c>
      <c r="GF71" t="e">
        <f>AND(#REF!,"AAAAAB3P77s=")</f>
        <v>#REF!</v>
      </c>
      <c r="GG71" t="e">
        <f>AND(#REF!,"AAAAAB3P77w=")</f>
        <v>#REF!</v>
      </c>
      <c r="GH71" t="e">
        <f>AND(#REF!,"AAAAAB3P770=")</f>
        <v>#REF!</v>
      </c>
      <c r="GI71" t="e">
        <f>AND(#REF!,"AAAAAB3P774=")</f>
        <v>#REF!</v>
      </c>
      <c r="GJ71" t="e">
        <f>IF(#REF!,"AAAAAB3P778=",0)</f>
        <v>#REF!</v>
      </c>
      <c r="GK71" t="e">
        <f>AND(#REF!,"AAAAAB3P78A=")</f>
        <v>#REF!</v>
      </c>
      <c r="GL71" t="e">
        <f>AND(#REF!,"AAAAAB3P78E=")</f>
        <v>#REF!</v>
      </c>
      <c r="GM71" t="e">
        <f>AND(#REF!,"AAAAAB3P78I=")</f>
        <v>#REF!</v>
      </c>
      <c r="GN71" t="e">
        <f>AND(#REF!,"AAAAAB3P78M=")</f>
        <v>#REF!</v>
      </c>
      <c r="GO71" t="e">
        <f>AND(#REF!,"AAAAAB3P78Q=")</f>
        <v>#REF!</v>
      </c>
      <c r="GP71" t="e">
        <f>AND(#REF!,"AAAAAB3P78U=")</f>
        <v>#REF!</v>
      </c>
      <c r="GQ71" t="e">
        <f>AND(#REF!,"AAAAAB3P78Y=")</f>
        <v>#REF!</v>
      </c>
      <c r="GR71" t="e">
        <f>AND(#REF!,"AAAAAB3P78c=")</f>
        <v>#REF!</v>
      </c>
      <c r="GS71" t="e">
        <f>AND(#REF!,"AAAAAB3P78g=")</f>
        <v>#REF!</v>
      </c>
      <c r="GT71" t="e">
        <f>AND(#REF!,"AAAAAB3P78k=")</f>
        <v>#REF!</v>
      </c>
      <c r="GU71" t="e">
        <f>AND(#REF!,"AAAAAB3P78o=")</f>
        <v>#REF!</v>
      </c>
      <c r="GV71" t="e">
        <f>AND(#REF!,"AAAAAB3P78s=")</f>
        <v>#REF!</v>
      </c>
      <c r="GW71" t="e">
        <f>AND(#REF!,"AAAAAB3P78w=")</f>
        <v>#REF!</v>
      </c>
      <c r="GX71" t="e">
        <f>AND(#REF!,"AAAAAB3P780=")</f>
        <v>#REF!</v>
      </c>
      <c r="GY71" t="e">
        <f>IF(#REF!,"AAAAAB3P784=",0)</f>
        <v>#REF!</v>
      </c>
      <c r="GZ71" t="e">
        <f>AND(#REF!,"AAAAAB3P788=")</f>
        <v>#REF!</v>
      </c>
      <c r="HA71" t="e">
        <f>AND(#REF!,"AAAAAB3P79A=")</f>
        <v>#REF!</v>
      </c>
      <c r="HB71" t="e">
        <f>AND(#REF!,"AAAAAB3P79E=")</f>
        <v>#REF!</v>
      </c>
      <c r="HC71" t="e">
        <f>AND(#REF!,"AAAAAB3P79I=")</f>
        <v>#REF!</v>
      </c>
      <c r="HD71" t="e">
        <f>AND(#REF!,"AAAAAB3P79M=")</f>
        <v>#REF!</v>
      </c>
      <c r="HE71" t="e">
        <f>AND(#REF!,"AAAAAB3P79Q=")</f>
        <v>#REF!</v>
      </c>
      <c r="HF71" t="e">
        <f>AND(#REF!,"AAAAAB3P79U=")</f>
        <v>#REF!</v>
      </c>
      <c r="HG71" t="e">
        <f>AND(#REF!,"AAAAAB3P79Y=")</f>
        <v>#REF!</v>
      </c>
      <c r="HH71" t="e">
        <f>AND(#REF!,"AAAAAB3P79c=")</f>
        <v>#REF!</v>
      </c>
      <c r="HI71" t="e">
        <f>AND(#REF!,"AAAAAB3P79g=")</f>
        <v>#REF!</v>
      </c>
      <c r="HJ71" t="e">
        <f>AND(#REF!,"AAAAAB3P79k=")</f>
        <v>#REF!</v>
      </c>
      <c r="HK71" t="e">
        <f>AND(#REF!,"AAAAAB3P79o=")</f>
        <v>#REF!</v>
      </c>
      <c r="HL71" t="e">
        <f>AND(#REF!,"AAAAAB3P79s=")</f>
        <v>#REF!</v>
      </c>
      <c r="HM71" t="e">
        <f>AND(#REF!,"AAAAAB3P79w=")</f>
        <v>#REF!</v>
      </c>
      <c r="HN71" t="e">
        <f>IF(#REF!,"AAAAAB3P790=",0)</f>
        <v>#REF!</v>
      </c>
      <c r="HO71" t="e">
        <f>AND(#REF!,"AAAAAB3P794=")</f>
        <v>#REF!</v>
      </c>
      <c r="HP71" t="e">
        <f>AND(#REF!,"AAAAAB3P798=")</f>
        <v>#REF!</v>
      </c>
      <c r="HQ71" t="e">
        <f>AND(#REF!,"AAAAAB3P7+A=")</f>
        <v>#REF!</v>
      </c>
      <c r="HR71" t="e">
        <f>AND(#REF!,"AAAAAB3P7+E=")</f>
        <v>#REF!</v>
      </c>
      <c r="HS71" t="e">
        <f>AND(#REF!,"AAAAAB3P7+I=")</f>
        <v>#REF!</v>
      </c>
      <c r="HT71" t="e">
        <f>AND(#REF!,"AAAAAB3P7+M=")</f>
        <v>#REF!</v>
      </c>
      <c r="HU71" t="e">
        <f>AND(#REF!,"AAAAAB3P7+Q=")</f>
        <v>#REF!</v>
      </c>
      <c r="HV71" t="e">
        <f>AND(#REF!,"AAAAAB3P7+U=")</f>
        <v>#REF!</v>
      </c>
      <c r="HW71" t="e">
        <f>AND(#REF!,"AAAAAB3P7+Y=")</f>
        <v>#REF!</v>
      </c>
      <c r="HX71" t="e">
        <f>AND(#REF!,"AAAAAB3P7+c=")</f>
        <v>#REF!</v>
      </c>
      <c r="HY71" t="e">
        <f>AND(#REF!,"AAAAAB3P7+g=")</f>
        <v>#REF!</v>
      </c>
      <c r="HZ71" t="e">
        <f>AND(#REF!,"AAAAAB3P7+k=")</f>
        <v>#REF!</v>
      </c>
      <c r="IA71" t="e">
        <f>AND(#REF!,"AAAAAB3P7+o=")</f>
        <v>#REF!</v>
      </c>
      <c r="IB71" t="e">
        <f>AND(#REF!,"AAAAAB3P7+s=")</f>
        <v>#REF!</v>
      </c>
      <c r="IC71" t="e">
        <f>IF(#REF!,"AAAAAB3P7+w=",0)</f>
        <v>#REF!</v>
      </c>
      <c r="ID71" t="e">
        <f>AND(#REF!,"AAAAAB3P7+0=")</f>
        <v>#REF!</v>
      </c>
      <c r="IE71" t="e">
        <f>AND(#REF!,"AAAAAB3P7+4=")</f>
        <v>#REF!</v>
      </c>
      <c r="IF71" t="e">
        <f>AND(#REF!,"AAAAAB3P7+8=")</f>
        <v>#REF!</v>
      </c>
      <c r="IG71" t="e">
        <f>AND(#REF!,"AAAAAB3P7/A=")</f>
        <v>#REF!</v>
      </c>
      <c r="IH71" t="e">
        <f>AND(#REF!,"AAAAAB3P7/E=")</f>
        <v>#REF!</v>
      </c>
      <c r="II71" t="e">
        <f>AND(#REF!,"AAAAAB3P7/I=")</f>
        <v>#REF!</v>
      </c>
      <c r="IJ71" t="e">
        <f>AND(#REF!,"AAAAAB3P7/M=")</f>
        <v>#REF!</v>
      </c>
      <c r="IK71" t="e">
        <f>AND(#REF!,"AAAAAB3P7/Q=")</f>
        <v>#REF!</v>
      </c>
      <c r="IL71" t="e">
        <f>AND(#REF!,"AAAAAB3P7/U=")</f>
        <v>#REF!</v>
      </c>
      <c r="IM71" t="e">
        <f>AND(#REF!,"AAAAAB3P7/Y=")</f>
        <v>#REF!</v>
      </c>
      <c r="IN71" t="e">
        <f>AND(#REF!,"AAAAAB3P7/c=")</f>
        <v>#REF!</v>
      </c>
      <c r="IO71" t="e">
        <f>AND(#REF!,"AAAAAB3P7/g=")</f>
        <v>#REF!</v>
      </c>
      <c r="IP71" t="e">
        <f>AND(#REF!,"AAAAAB3P7/k=")</f>
        <v>#REF!</v>
      </c>
      <c r="IQ71" t="e">
        <f>AND(#REF!,"AAAAAB3P7/o=")</f>
        <v>#REF!</v>
      </c>
      <c r="IR71" t="e">
        <f>IF(#REF!,"AAAAAB3P7/s=",0)</f>
        <v>#REF!</v>
      </c>
      <c r="IS71" t="e">
        <f>AND(#REF!,"AAAAAB3P7/w=")</f>
        <v>#REF!</v>
      </c>
      <c r="IT71" t="e">
        <f>AND(#REF!,"AAAAAB3P7/0=")</f>
        <v>#REF!</v>
      </c>
      <c r="IU71" t="e">
        <f>AND(#REF!,"AAAAAB3P7/4=")</f>
        <v>#REF!</v>
      </c>
      <c r="IV71" t="e">
        <f>AND(#REF!,"AAAAAB3P7/8=")</f>
        <v>#REF!</v>
      </c>
    </row>
    <row r="72" spans="1:256" x14ac:dyDescent="0.15">
      <c r="A72" t="e">
        <f>AND(#REF!,"AAAAAAa/fwA=")</f>
        <v>#REF!</v>
      </c>
      <c r="B72" t="e">
        <f>AND(#REF!,"AAAAAAa/fwE=")</f>
        <v>#REF!</v>
      </c>
      <c r="C72" t="e">
        <f>AND(#REF!,"AAAAAAa/fwI=")</f>
        <v>#REF!</v>
      </c>
      <c r="D72" t="e">
        <f>AND(#REF!,"AAAAAAa/fwM=")</f>
        <v>#REF!</v>
      </c>
      <c r="E72" t="e">
        <f>AND(#REF!,"AAAAAAa/fwQ=")</f>
        <v>#REF!</v>
      </c>
      <c r="F72" t="e">
        <f>AND(#REF!,"AAAAAAa/fwU=")</f>
        <v>#REF!</v>
      </c>
      <c r="G72" t="e">
        <f>AND(#REF!,"AAAAAAa/fwY=")</f>
        <v>#REF!</v>
      </c>
      <c r="H72" t="e">
        <f>AND(#REF!,"AAAAAAa/fwc=")</f>
        <v>#REF!</v>
      </c>
      <c r="I72" t="e">
        <f>AND(#REF!,"AAAAAAa/fwg=")</f>
        <v>#REF!</v>
      </c>
      <c r="J72" t="e">
        <f>AND(#REF!,"AAAAAAa/fwk=")</f>
        <v>#REF!</v>
      </c>
      <c r="K72" t="e">
        <f>IF(#REF!,"AAAAAAa/fwo=",0)</f>
        <v>#REF!</v>
      </c>
      <c r="L72" t="e">
        <f>AND(#REF!,"AAAAAAa/fws=")</f>
        <v>#REF!</v>
      </c>
      <c r="M72" t="e">
        <f>AND(#REF!,"AAAAAAa/fww=")</f>
        <v>#REF!</v>
      </c>
      <c r="N72" t="e">
        <f>AND(#REF!,"AAAAAAa/fw0=")</f>
        <v>#REF!</v>
      </c>
      <c r="O72" t="e">
        <f>AND(#REF!,"AAAAAAa/fw4=")</f>
        <v>#REF!</v>
      </c>
      <c r="P72" t="e">
        <f>AND(#REF!,"AAAAAAa/fw8=")</f>
        <v>#REF!</v>
      </c>
      <c r="Q72" t="e">
        <f>AND(#REF!,"AAAAAAa/fxA=")</f>
        <v>#REF!</v>
      </c>
      <c r="R72" t="e">
        <f>AND(#REF!,"AAAAAAa/fxE=")</f>
        <v>#REF!</v>
      </c>
      <c r="S72" t="e">
        <f>AND(#REF!,"AAAAAAa/fxI=")</f>
        <v>#REF!</v>
      </c>
      <c r="T72" t="e">
        <f>AND(#REF!,"AAAAAAa/fxM=")</f>
        <v>#REF!</v>
      </c>
      <c r="U72" t="e">
        <f>AND(#REF!,"AAAAAAa/fxQ=")</f>
        <v>#REF!</v>
      </c>
      <c r="V72" t="e">
        <f>AND(#REF!,"AAAAAAa/fxU=")</f>
        <v>#REF!</v>
      </c>
      <c r="W72" t="e">
        <f>AND(#REF!,"AAAAAAa/fxY=")</f>
        <v>#REF!</v>
      </c>
      <c r="X72" t="e">
        <f>AND(#REF!,"AAAAAAa/fxc=")</f>
        <v>#REF!</v>
      </c>
      <c r="Y72" t="e">
        <f>AND(#REF!,"AAAAAAa/fxg=")</f>
        <v>#REF!</v>
      </c>
      <c r="Z72" t="e">
        <f>IF(#REF!,"AAAAAAa/fxk=",0)</f>
        <v>#REF!</v>
      </c>
      <c r="AA72" t="e">
        <f>AND(#REF!,"AAAAAAa/fxo=")</f>
        <v>#REF!</v>
      </c>
      <c r="AB72" t="e">
        <f>AND(#REF!,"AAAAAAa/fxs=")</f>
        <v>#REF!</v>
      </c>
      <c r="AC72" t="e">
        <f>AND(#REF!,"AAAAAAa/fxw=")</f>
        <v>#REF!</v>
      </c>
      <c r="AD72" t="e">
        <f>AND(#REF!,"AAAAAAa/fx0=")</f>
        <v>#REF!</v>
      </c>
      <c r="AE72" t="e">
        <f>AND(#REF!,"AAAAAAa/fx4=")</f>
        <v>#REF!</v>
      </c>
      <c r="AF72" t="e">
        <f>AND(#REF!,"AAAAAAa/fx8=")</f>
        <v>#REF!</v>
      </c>
      <c r="AG72" t="e">
        <f>AND(#REF!,"AAAAAAa/fyA=")</f>
        <v>#REF!</v>
      </c>
      <c r="AH72" t="e">
        <f>AND(#REF!,"AAAAAAa/fyE=")</f>
        <v>#REF!</v>
      </c>
      <c r="AI72" t="e">
        <f>AND(#REF!,"AAAAAAa/fyI=")</f>
        <v>#REF!</v>
      </c>
      <c r="AJ72" t="e">
        <f>AND(#REF!,"AAAAAAa/fyM=")</f>
        <v>#REF!</v>
      </c>
      <c r="AK72" t="e">
        <f>AND(#REF!,"AAAAAAa/fyQ=")</f>
        <v>#REF!</v>
      </c>
      <c r="AL72" t="e">
        <f>AND(#REF!,"AAAAAAa/fyU=")</f>
        <v>#REF!</v>
      </c>
      <c r="AM72" t="e">
        <f>AND(#REF!,"AAAAAAa/fyY=")</f>
        <v>#REF!</v>
      </c>
      <c r="AN72" t="e">
        <f>AND(#REF!,"AAAAAAa/fyc=")</f>
        <v>#REF!</v>
      </c>
      <c r="AO72" t="e">
        <f>IF(#REF!,"AAAAAAa/fyg=",0)</f>
        <v>#REF!</v>
      </c>
      <c r="AP72" t="e">
        <f>AND(#REF!,"AAAAAAa/fyk=")</f>
        <v>#REF!</v>
      </c>
      <c r="AQ72" t="e">
        <f>AND(#REF!,"AAAAAAa/fyo=")</f>
        <v>#REF!</v>
      </c>
      <c r="AR72" t="e">
        <f>AND(#REF!,"AAAAAAa/fys=")</f>
        <v>#REF!</v>
      </c>
      <c r="AS72" t="e">
        <f>AND(#REF!,"AAAAAAa/fyw=")</f>
        <v>#REF!</v>
      </c>
      <c r="AT72" t="e">
        <f>AND(#REF!,"AAAAAAa/fy0=")</f>
        <v>#REF!</v>
      </c>
      <c r="AU72" t="e">
        <f>AND(#REF!,"AAAAAAa/fy4=")</f>
        <v>#REF!</v>
      </c>
      <c r="AV72" t="e">
        <f>AND(#REF!,"AAAAAAa/fy8=")</f>
        <v>#REF!</v>
      </c>
      <c r="AW72" t="e">
        <f>AND(#REF!,"AAAAAAa/fzA=")</f>
        <v>#REF!</v>
      </c>
      <c r="AX72" t="e">
        <f>AND(#REF!,"AAAAAAa/fzE=")</f>
        <v>#REF!</v>
      </c>
      <c r="AY72" t="e">
        <f>AND(#REF!,"AAAAAAa/fzI=")</f>
        <v>#REF!</v>
      </c>
      <c r="AZ72" t="e">
        <f>AND(#REF!,"AAAAAAa/fzM=")</f>
        <v>#REF!</v>
      </c>
      <c r="BA72" t="e">
        <f>AND(#REF!,"AAAAAAa/fzQ=")</f>
        <v>#REF!</v>
      </c>
      <c r="BB72" t="e">
        <f>AND(#REF!,"AAAAAAa/fzU=")</f>
        <v>#REF!</v>
      </c>
      <c r="BC72" t="e">
        <f>AND(#REF!,"AAAAAAa/fzY=")</f>
        <v>#REF!</v>
      </c>
      <c r="BD72" t="e">
        <f>IF(#REF!,"AAAAAAa/fzc=",0)</f>
        <v>#REF!</v>
      </c>
      <c r="BE72" t="e">
        <f>AND(#REF!,"AAAAAAa/fzg=")</f>
        <v>#REF!</v>
      </c>
      <c r="BF72" t="e">
        <f>AND(#REF!,"AAAAAAa/fzk=")</f>
        <v>#REF!</v>
      </c>
      <c r="BG72" t="e">
        <f>AND(#REF!,"AAAAAAa/fzo=")</f>
        <v>#REF!</v>
      </c>
      <c r="BH72" t="e">
        <f>AND(#REF!,"AAAAAAa/fzs=")</f>
        <v>#REF!</v>
      </c>
      <c r="BI72" t="e">
        <f>AND(#REF!,"AAAAAAa/fzw=")</f>
        <v>#REF!</v>
      </c>
      <c r="BJ72" t="e">
        <f>AND(#REF!,"AAAAAAa/fz0=")</f>
        <v>#REF!</v>
      </c>
      <c r="BK72" t="e">
        <f>AND(#REF!,"AAAAAAa/fz4=")</f>
        <v>#REF!</v>
      </c>
      <c r="BL72" t="e">
        <f>AND(#REF!,"AAAAAAa/fz8=")</f>
        <v>#REF!</v>
      </c>
      <c r="BM72" t="e">
        <f>AND(#REF!,"AAAAAAa/f0A=")</f>
        <v>#REF!</v>
      </c>
      <c r="BN72" t="e">
        <f>AND(#REF!,"AAAAAAa/f0E=")</f>
        <v>#REF!</v>
      </c>
      <c r="BO72" t="e">
        <f>AND(#REF!,"AAAAAAa/f0I=")</f>
        <v>#REF!</v>
      </c>
      <c r="BP72" t="e">
        <f>AND(#REF!,"AAAAAAa/f0M=")</f>
        <v>#REF!</v>
      </c>
      <c r="BQ72" t="e">
        <f>AND(#REF!,"AAAAAAa/f0Q=")</f>
        <v>#REF!</v>
      </c>
      <c r="BR72" t="e">
        <f>AND(#REF!,"AAAAAAa/f0U=")</f>
        <v>#REF!</v>
      </c>
      <c r="BS72" t="e">
        <f>IF(#REF!,"AAAAAAa/f0Y=",0)</f>
        <v>#REF!</v>
      </c>
      <c r="BT72" t="e">
        <f>AND(#REF!,"AAAAAAa/f0c=")</f>
        <v>#REF!</v>
      </c>
      <c r="BU72" t="e">
        <f>AND(#REF!,"AAAAAAa/f0g=")</f>
        <v>#REF!</v>
      </c>
      <c r="BV72" t="e">
        <f>AND(#REF!,"AAAAAAa/f0k=")</f>
        <v>#REF!</v>
      </c>
      <c r="BW72" t="e">
        <f>AND(#REF!,"AAAAAAa/f0o=")</f>
        <v>#REF!</v>
      </c>
      <c r="BX72" t="e">
        <f>AND(#REF!,"AAAAAAa/f0s=")</f>
        <v>#REF!</v>
      </c>
      <c r="BY72" t="e">
        <f>AND(#REF!,"AAAAAAa/f0w=")</f>
        <v>#REF!</v>
      </c>
      <c r="BZ72" t="e">
        <f>AND(#REF!,"AAAAAAa/f00=")</f>
        <v>#REF!</v>
      </c>
      <c r="CA72" t="e">
        <f>AND(#REF!,"AAAAAAa/f04=")</f>
        <v>#REF!</v>
      </c>
      <c r="CB72" t="e">
        <f>AND(#REF!,"AAAAAAa/f08=")</f>
        <v>#REF!</v>
      </c>
      <c r="CC72" t="e">
        <f>AND(#REF!,"AAAAAAa/f1A=")</f>
        <v>#REF!</v>
      </c>
      <c r="CD72" t="e">
        <f>AND(#REF!,"AAAAAAa/f1E=")</f>
        <v>#REF!</v>
      </c>
      <c r="CE72" t="e">
        <f>AND(#REF!,"AAAAAAa/f1I=")</f>
        <v>#REF!</v>
      </c>
      <c r="CF72" t="e">
        <f>AND(#REF!,"AAAAAAa/f1M=")</f>
        <v>#REF!</v>
      </c>
      <c r="CG72" t="e">
        <f>AND(#REF!,"AAAAAAa/f1Q=")</f>
        <v>#REF!</v>
      </c>
      <c r="CH72" t="e">
        <f>IF(#REF!,"AAAAAAa/f1U=",0)</f>
        <v>#REF!</v>
      </c>
      <c r="CI72" t="e">
        <f>AND(#REF!,"AAAAAAa/f1Y=")</f>
        <v>#REF!</v>
      </c>
      <c r="CJ72" t="e">
        <f>AND(#REF!,"AAAAAAa/f1c=")</f>
        <v>#REF!</v>
      </c>
      <c r="CK72" t="e">
        <f>AND(#REF!,"AAAAAAa/f1g=")</f>
        <v>#REF!</v>
      </c>
      <c r="CL72" t="e">
        <f>AND(#REF!,"AAAAAAa/f1k=")</f>
        <v>#REF!</v>
      </c>
      <c r="CM72" t="e">
        <f>AND(#REF!,"AAAAAAa/f1o=")</f>
        <v>#REF!</v>
      </c>
      <c r="CN72" t="e">
        <f>AND(#REF!,"AAAAAAa/f1s=")</f>
        <v>#REF!</v>
      </c>
      <c r="CO72" t="e">
        <f>AND(#REF!,"AAAAAAa/f1w=")</f>
        <v>#REF!</v>
      </c>
      <c r="CP72" t="e">
        <f>AND(#REF!,"AAAAAAa/f10=")</f>
        <v>#REF!</v>
      </c>
      <c r="CQ72" t="e">
        <f>AND(#REF!,"AAAAAAa/f14=")</f>
        <v>#REF!</v>
      </c>
      <c r="CR72" t="e">
        <f>AND(#REF!,"AAAAAAa/f18=")</f>
        <v>#REF!</v>
      </c>
      <c r="CS72" t="e">
        <f>AND(#REF!,"AAAAAAa/f2A=")</f>
        <v>#REF!</v>
      </c>
      <c r="CT72" t="e">
        <f>AND(#REF!,"AAAAAAa/f2E=")</f>
        <v>#REF!</v>
      </c>
      <c r="CU72" t="e">
        <f>AND(#REF!,"AAAAAAa/f2I=")</f>
        <v>#REF!</v>
      </c>
      <c r="CV72" t="e">
        <f>AND(#REF!,"AAAAAAa/f2M=")</f>
        <v>#REF!</v>
      </c>
      <c r="CW72" t="e">
        <f>IF(#REF!,"AAAAAAa/f2Q=",0)</f>
        <v>#REF!</v>
      </c>
      <c r="CX72" t="e">
        <f>AND(#REF!,"AAAAAAa/f2U=")</f>
        <v>#REF!</v>
      </c>
      <c r="CY72" t="e">
        <f>AND(#REF!,"AAAAAAa/f2Y=")</f>
        <v>#REF!</v>
      </c>
      <c r="CZ72" t="e">
        <f>AND(#REF!,"AAAAAAa/f2c=")</f>
        <v>#REF!</v>
      </c>
      <c r="DA72" t="e">
        <f>AND(#REF!,"AAAAAAa/f2g=")</f>
        <v>#REF!</v>
      </c>
      <c r="DB72" t="e">
        <f>AND(#REF!,"AAAAAAa/f2k=")</f>
        <v>#REF!</v>
      </c>
      <c r="DC72" t="e">
        <f>AND(#REF!,"AAAAAAa/f2o=")</f>
        <v>#REF!</v>
      </c>
      <c r="DD72" t="e">
        <f>AND(#REF!,"AAAAAAa/f2s=")</f>
        <v>#REF!</v>
      </c>
      <c r="DE72" t="e">
        <f>AND(#REF!,"AAAAAAa/f2w=")</f>
        <v>#REF!</v>
      </c>
      <c r="DF72" t="e">
        <f>AND(#REF!,"AAAAAAa/f20=")</f>
        <v>#REF!</v>
      </c>
      <c r="DG72" t="e">
        <f>AND(#REF!,"AAAAAAa/f24=")</f>
        <v>#REF!</v>
      </c>
      <c r="DH72" t="e">
        <f>AND(#REF!,"AAAAAAa/f28=")</f>
        <v>#REF!</v>
      </c>
      <c r="DI72" t="e">
        <f>AND(#REF!,"AAAAAAa/f3A=")</f>
        <v>#REF!</v>
      </c>
      <c r="DJ72" t="e">
        <f>AND(#REF!,"AAAAAAa/f3E=")</f>
        <v>#REF!</v>
      </c>
      <c r="DK72" t="e">
        <f>AND(#REF!,"AAAAAAa/f3I=")</f>
        <v>#REF!</v>
      </c>
      <c r="DL72" t="e">
        <f>IF(#REF!,"AAAAAAa/f3M=",0)</f>
        <v>#REF!</v>
      </c>
      <c r="DM72" t="e">
        <f>AND(#REF!,"AAAAAAa/f3Q=")</f>
        <v>#REF!</v>
      </c>
      <c r="DN72" t="e">
        <f>AND(#REF!,"AAAAAAa/f3U=")</f>
        <v>#REF!</v>
      </c>
      <c r="DO72" t="e">
        <f>AND(#REF!,"AAAAAAa/f3Y=")</f>
        <v>#REF!</v>
      </c>
      <c r="DP72" t="e">
        <f>AND(#REF!,"AAAAAAa/f3c=")</f>
        <v>#REF!</v>
      </c>
      <c r="DQ72" t="e">
        <f>AND(#REF!,"AAAAAAa/f3g=")</f>
        <v>#REF!</v>
      </c>
      <c r="DR72" t="e">
        <f>AND(#REF!,"AAAAAAa/f3k=")</f>
        <v>#REF!</v>
      </c>
      <c r="DS72" t="e">
        <f>AND(#REF!,"AAAAAAa/f3o=")</f>
        <v>#REF!</v>
      </c>
      <c r="DT72" t="e">
        <f>AND(#REF!,"AAAAAAa/f3s=")</f>
        <v>#REF!</v>
      </c>
      <c r="DU72" t="e">
        <f>AND(#REF!,"AAAAAAa/f3w=")</f>
        <v>#REF!</v>
      </c>
      <c r="DV72" t="e">
        <f>AND(#REF!,"AAAAAAa/f30=")</f>
        <v>#REF!</v>
      </c>
      <c r="DW72" t="e">
        <f>AND(#REF!,"AAAAAAa/f34=")</f>
        <v>#REF!</v>
      </c>
      <c r="DX72" t="e">
        <f>AND(#REF!,"AAAAAAa/f38=")</f>
        <v>#REF!</v>
      </c>
      <c r="DY72" t="e">
        <f>AND(#REF!,"AAAAAAa/f4A=")</f>
        <v>#REF!</v>
      </c>
      <c r="DZ72" t="e">
        <f>AND(#REF!,"AAAAAAa/f4E=")</f>
        <v>#REF!</v>
      </c>
      <c r="EA72" t="e">
        <f>IF(#REF!,"AAAAAAa/f4I=",0)</f>
        <v>#REF!</v>
      </c>
      <c r="EB72" t="e">
        <f>AND(#REF!,"AAAAAAa/f4M=")</f>
        <v>#REF!</v>
      </c>
      <c r="EC72" t="e">
        <f>AND(#REF!,"AAAAAAa/f4Q=")</f>
        <v>#REF!</v>
      </c>
      <c r="ED72" t="e">
        <f>AND(#REF!,"AAAAAAa/f4U=")</f>
        <v>#REF!</v>
      </c>
      <c r="EE72" t="e">
        <f>AND(#REF!,"AAAAAAa/f4Y=")</f>
        <v>#REF!</v>
      </c>
      <c r="EF72" t="e">
        <f>AND(#REF!,"AAAAAAa/f4c=")</f>
        <v>#REF!</v>
      </c>
      <c r="EG72" t="e">
        <f>AND(#REF!,"AAAAAAa/f4g=")</f>
        <v>#REF!</v>
      </c>
      <c r="EH72" t="e">
        <f>AND(#REF!,"AAAAAAa/f4k=")</f>
        <v>#REF!</v>
      </c>
      <c r="EI72" t="e">
        <f>AND(#REF!,"AAAAAAa/f4o=")</f>
        <v>#REF!</v>
      </c>
      <c r="EJ72" t="e">
        <f>AND(#REF!,"AAAAAAa/f4s=")</f>
        <v>#REF!</v>
      </c>
      <c r="EK72" t="e">
        <f>AND(#REF!,"AAAAAAa/f4w=")</f>
        <v>#REF!</v>
      </c>
      <c r="EL72" t="e">
        <f>AND(#REF!,"AAAAAAa/f40=")</f>
        <v>#REF!</v>
      </c>
      <c r="EM72" t="e">
        <f>AND(#REF!,"AAAAAAa/f44=")</f>
        <v>#REF!</v>
      </c>
      <c r="EN72" t="e">
        <f>AND(#REF!,"AAAAAAa/f48=")</f>
        <v>#REF!</v>
      </c>
      <c r="EO72" t="e">
        <f>AND(#REF!,"AAAAAAa/f5A=")</f>
        <v>#REF!</v>
      </c>
      <c r="EP72" t="e">
        <f>IF(#REF!,"AAAAAAa/f5E=",0)</f>
        <v>#REF!</v>
      </c>
      <c r="EQ72" t="e">
        <f>AND(#REF!,"AAAAAAa/f5I=")</f>
        <v>#REF!</v>
      </c>
      <c r="ER72" t="e">
        <f>AND(#REF!,"AAAAAAa/f5M=")</f>
        <v>#REF!</v>
      </c>
      <c r="ES72" t="e">
        <f>AND(#REF!,"AAAAAAa/f5Q=")</f>
        <v>#REF!</v>
      </c>
      <c r="ET72" t="e">
        <f>AND(#REF!,"AAAAAAa/f5U=")</f>
        <v>#REF!</v>
      </c>
      <c r="EU72" t="e">
        <f>AND(#REF!,"AAAAAAa/f5Y=")</f>
        <v>#REF!</v>
      </c>
      <c r="EV72" t="e">
        <f>AND(#REF!,"AAAAAAa/f5c=")</f>
        <v>#REF!</v>
      </c>
      <c r="EW72" t="e">
        <f>AND(#REF!,"AAAAAAa/f5g=")</f>
        <v>#REF!</v>
      </c>
      <c r="EX72" t="e">
        <f>AND(#REF!,"AAAAAAa/f5k=")</f>
        <v>#REF!</v>
      </c>
      <c r="EY72" t="e">
        <f>AND(#REF!,"AAAAAAa/f5o=")</f>
        <v>#REF!</v>
      </c>
      <c r="EZ72" t="e">
        <f>AND(#REF!,"AAAAAAa/f5s=")</f>
        <v>#REF!</v>
      </c>
      <c r="FA72" t="e">
        <f>AND(#REF!,"AAAAAAa/f5w=")</f>
        <v>#REF!</v>
      </c>
      <c r="FB72" t="e">
        <f>AND(#REF!,"AAAAAAa/f50=")</f>
        <v>#REF!</v>
      </c>
      <c r="FC72" t="e">
        <f>AND(#REF!,"AAAAAAa/f54=")</f>
        <v>#REF!</v>
      </c>
      <c r="FD72" t="e">
        <f>AND(#REF!,"AAAAAAa/f58=")</f>
        <v>#REF!</v>
      </c>
      <c r="FE72" t="e">
        <f>IF(#REF!,"AAAAAAa/f6A=",0)</f>
        <v>#REF!</v>
      </c>
      <c r="FF72" t="e">
        <f>AND(#REF!,"AAAAAAa/f6E=")</f>
        <v>#REF!</v>
      </c>
      <c r="FG72" t="e">
        <f>AND(#REF!,"AAAAAAa/f6I=")</f>
        <v>#REF!</v>
      </c>
      <c r="FH72" t="e">
        <f>AND(#REF!,"AAAAAAa/f6M=")</f>
        <v>#REF!</v>
      </c>
      <c r="FI72" t="e">
        <f>AND(#REF!,"AAAAAAa/f6Q=")</f>
        <v>#REF!</v>
      </c>
      <c r="FJ72" t="e">
        <f>AND(#REF!,"AAAAAAa/f6U=")</f>
        <v>#REF!</v>
      </c>
      <c r="FK72" t="e">
        <f>AND(#REF!,"AAAAAAa/f6Y=")</f>
        <v>#REF!</v>
      </c>
      <c r="FL72" t="e">
        <f>AND(#REF!,"AAAAAAa/f6c=")</f>
        <v>#REF!</v>
      </c>
      <c r="FM72" t="e">
        <f>AND(#REF!,"AAAAAAa/f6g=")</f>
        <v>#REF!</v>
      </c>
      <c r="FN72" t="e">
        <f>AND(#REF!,"AAAAAAa/f6k=")</f>
        <v>#REF!</v>
      </c>
      <c r="FO72" t="e">
        <f>AND(#REF!,"AAAAAAa/f6o=")</f>
        <v>#REF!</v>
      </c>
      <c r="FP72" t="e">
        <f>AND(#REF!,"AAAAAAa/f6s=")</f>
        <v>#REF!</v>
      </c>
      <c r="FQ72" t="e">
        <f>AND(#REF!,"AAAAAAa/f6w=")</f>
        <v>#REF!</v>
      </c>
      <c r="FR72" t="e">
        <f>AND(#REF!,"AAAAAAa/f60=")</f>
        <v>#REF!</v>
      </c>
      <c r="FS72" t="e">
        <f>AND(#REF!,"AAAAAAa/f64=")</f>
        <v>#REF!</v>
      </c>
      <c r="FT72" t="e">
        <f>IF(#REF!,"AAAAAAa/f68=",0)</f>
        <v>#REF!</v>
      </c>
      <c r="FU72" t="e">
        <f>AND(#REF!,"AAAAAAa/f7A=")</f>
        <v>#REF!</v>
      </c>
      <c r="FV72" t="e">
        <f>AND(#REF!,"AAAAAAa/f7E=")</f>
        <v>#REF!</v>
      </c>
      <c r="FW72" t="e">
        <f>AND(#REF!,"AAAAAAa/f7I=")</f>
        <v>#REF!</v>
      </c>
      <c r="FX72" t="e">
        <f>AND(#REF!,"AAAAAAa/f7M=")</f>
        <v>#REF!</v>
      </c>
      <c r="FY72" t="e">
        <f>AND(#REF!,"AAAAAAa/f7Q=")</f>
        <v>#REF!</v>
      </c>
      <c r="FZ72" t="e">
        <f>AND(#REF!,"AAAAAAa/f7U=")</f>
        <v>#REF!</v>
      </c>
      <c r="GA72" t="e">
        <f>AND(#REF!,"AAAAAAa/f7Y=")</f>
        <v>#REF!</v>
      </c>
      <c r="GB72" t="e">
        <f>AND(#REF!,"AAAAAAa/f7c=")</f>
        <v>#REF!</v>
      </c>
      <c r="GC72" t="e">
        <f>AND(#REF!,"AAAAAAa/f7g=")</f>
        <v>#REF!</v>
      </c>
      <c r="GD72" t="e">
        <f>AND(#REF!,"AAAAAAa/f7k=")</f>
        <v>#REF!</v>
      </c>
      <c r="GE72" t="e">
        <f>AND(#REF!,"AAAAAAa/f7o=")</f>
        <v>#REF!</v>
      </c>
      <c r="GF72" t="e">
        <f>AND(#REF!,"AAAAAAa/f7s=")</f>
        <v>#REF!</v>
      </c>
      <c r="GG72" t="e">
        <f>AND(#REF!,"AAAAAAa/f7w=")</f>
        <v>#REF!</v>
      </c>
      <c r="GH72" t="e">
        <f>AND(#REF!,"AAAAAAa/f70=")</f>
        <v>#REF!</v>
      </c>
      <c r="GI72" t="e">
        <f>IF(#REF!,"AAAAAAa/f74=",0)</f>
        <v>#REF!</v>
      </c>
      <c r="GJ72" t="e">
        <f>AND(#REF!,"AAAAAAa/f78=")</f>
        <v>#REF!</v>
      </c>
      <c r="GK72" t="e">
        <f>AND(#REF!,"AAAAAAa/f8A=")</f>
        <v>#REF!</v>
      </c>
      <c r="GL72" t="e">
        <f>AND(#REF!,"AAAAAAa/f8E=")</f>
        <v>#REF!</v>
      </c>
      <c r="GM72" t="e">
        <f>AND(#REF!,"AAAAAAa/f8I=")</f>
        <v>#REF!</v>
      </c>
      <c r="GN72" t="e">
        <f>AND(#REF!,"AAAAAAa/f8M=")</f>
        <v>#REF!</v>
      </c>
      <c r="GO72" t="e">
        <f>AND(#REF!,"AAAAAAa/f8Q=")</f>
        <v>#REF!</v>
      </c>
      <c r="GP72" t="e">
        <f>AND(#REF!,"AAAAAAa/f8U=")</f>
        <v>#REF!</v>
      </c>
      <c r="GQ72" t="e">
        <f>AND(#REF!,"AAAAAAa/f8Y=")</f>
        <v>#REF!</v>
      </c>
      <c r="GR72" t="e">
        <f>AND(#REF!,"AAAAAAa/f8c=")</f>
        <v>#REF!</v>
      </c>
      <c r="GS72" t="e">
        <f>AND(#REF!,"AAAAAAa/f8g=")</f>
        <v>#REF!</v>
      </c>
      <c r="GT72" t="e">
        <f>AND(#REF!,"AAAAAAa/f8k=")</f>
        <v>#REF!</v>
      </c>
      <c r="GU72" t="e">
        <f>AND(#REF!,"AAAAAAa/f8o=")</f>
        <v>#REF!</v>
      </c>
      <c r="GV72" t="e">
        <f>AND(#REF!,"AAAAAAa/f8s=")</f>
        <v>#REF!</v>
      </c>
      <c r="GW72" t="e">
        <f>AND(#REF!,"AAAAAAa/f8w=")</f>
        <v>#REF!</v>
      </c>
      <c r="GX72" t="e">
        <f>IF(#REF!,"AAAAAAa/f80=",0)</f>
        <v>#REF!</v>
      </c>
      <c r="GY72" t="e">
        <f>AND(#REF!,"AAAAAAa/f84=")</f>
        <v>#REF!</v>
      </c>
      <c r="GZ72" t="e">
        <f>AND(#REF!,"AAAAAAa/f88=")</f>
        <v>#REF!</v>
      </c>
      <c r="HA72" t="e">
        <f>AND(#REF!,"AAAAAAa/f9A=")</f>
        <v>#REF!</v>
      </c>
      <c r="HB72" t="e">
        <f>AND(#REF!,"AAAAAAa/f9E=")</f>
        <v>#REF!</v>
      </c>
      <c r="HC72" t="e">
        <f>AND(#REF!,"AAAAAAa/f9I=")</f>
        <v>#REF!</v>
      </c>
      <c r="HD72" t="e">
        <f>AND(#REF!,"AAAAAAa/f9M=")</f>
        <v>#REF!</v>
      </c>
      <c r="HE72" t="e">
        <f>AND(#REF!,"AAAAAAa/f9Q=")</f>
        <v>#REF!</v>
      </c>
      <c r="HF72" t="e">
        <f>AND(#REF!,"AAAAAAa/f9U=")</f>
        <v>#REF!</v>
      </c>
      <c r="HG72" t="e">
        <f>AND(#REF!,"AAAAAAa/f9Y=")</f>
        <v>#REF!</v>
      </c>
      <c r="HH72" t="e">
        <f>AND(#REF!,"AAAAAAa/f9c=")</f>
        <v>#REF!</v>
      </c>
      <c r="HI72" t="e">
        <f>AND(#REF!,"AAAAAAa/f9g=")</f>
        <v>#REF!</v>
      </c>
      <c r="HJ72" t="e">
        <f>AND(#REF!,"AAAAAAa/f9k=")</f>
        <v>#REF!</v>
      </c>
      <c r="HK72" t="e">
        <f>AND(#REF!,"AAAAAAa/f9o=")</f>
        <v>#REF!</v>
      </c>
      <c r="HL72" t="e">
        <f>AND(#REF!,"AAAAAAa/f9s=")</f>
        <v>#REF!</v>
      </c>
      <c r="HM72" t="e">
        <f>IF(#REF!,"AAAAAAa/f9w=",0)</f>
        <v>#REF!</v>
      </c>
      <c r="HN72" t="e">
        <f>AND(#REF!,"AAAAAAa/f90=")</f>
        <v>#REF!</v>
      </c>
      <c r="HO72" t="e">
        <f>AND(#REF!,"AAAAAAa/f94=")</f>
        <v>#REF!</v>
      </c>
      <c r="HP72" t="e">
        <f>AND(#REF!,"AAAAAAa/f98=")</f>
        <v>#REF!</v>
      </c>
      <c r="HQ72" t="e">
        <f>AND(#REF!,"AAAAAAa/f+A=")</f>
        <v>#REF!</v>
      </c>
      <c r="HR72" t="e">
        <f>AND(#REF!,"AAAAAAa/f+E=")</f>
        <v>#REF!</v>
      </c>
      <c r="HS72" t="e">
        <f>AND(#REF!,"AAAAAAa/f+I=")</f>
        <v>#REF!</v>
      </c>
      <c r="HT72" t="e">
        <f>AND(#REF!,"AAAAAAa/f+M=")</f>
        <v>#REF!</v>
      </c>
      <c r="HU72" t="e">
        <f>AND(#REF!,"AAAAAAa/f+Q=")</f>
        <v>#REF!</v>
      </c>
      <c r="HV72" t="e">
        <f>AND(#REF!,"AAAAAAa/f+U=")</f>
        <v>#REF!</v>
      </c>
      <c r="HW72" t="e">
        <f>AND(#REF!,"AAAAAAa/f+Y=")</f>
        <v>#REF!</v>
      </c>
      <c r="HX72" t="e">
        <f>AND(#REF!,"AAAAAAa/f+c=")</f>
        <v>#REF!</v>
      </c>
      <c r="HY72" t="e">
        <f>AND(#REF!,"AAAAAAa/f+g=")</f>
        <v>#REF!</v>
      </c>
      <c r="HZ72" t="e">
        <f>AND(#REF!,"AAAAAAa/f+k=")</f>
        <v>#REF!</v>
      </c>
      <c r="IA72" t="e">
        <f>AND(#REF!,"AAAAAAa/f+o=")</f>
        <v>#REF!</v>
      </c>
      <c r="IB72" t="e">
        <f>IF(#REF!,"AAAAAAa/f+s=",0)</f>
        <v>#REF!</v>
      </c>
      <c r="IC72" t="e">
        <f>AND(#REF!,"AAAAAAa/f+w=")</f>
        <v>#REF!</v>
      </c>
      <c r="ID72" t="e">
        <f>AND(#REF!,"AAAAAAa/f+0=")</f>
        <v>#REF!</v>
      </c>
      <c r="IE72" t="e">
        <f>AND(#REF!,"AAAAAAa/f+4=")</f>
        <v>#REF!</v>
      </c>
      <c r="IF72" t="e">
        <f>AND(#REF!,"AAAAAAa/f+8=")</f>
        <v>#REF!</v>
      </c>
      <c r="IG72" t="e">
        <f>AND(#REF!,"AAAAAAa/f/A=")</f>
        <v>#REF!</v>
      </c>
      <c r="IH72" t="e">
        <f>AND(#REF!,"AAAAAAa/f/E=")</f>
        <v>#REF!</v>
      </c>
      <c r="II72" t="e">
        <f>AND(#REF!,"AAAAAAa/f/I=")</f>
        <v>#REF!</v>
      </c>
      <c r="IJ72" t="e">
        <f>AND(#REF!,"AAAAAAa/f/M=")</f>
        <v>#REF!</v>
      </c>
      <c r="IK72" t="e">
        <f>AND(#REF!,"AAAAAAa/f/Q=")</f>
        <v>#REF!</v>
      </c>
      <c r="IL72" t="e">
        <f>AND(#REF!,"AAAAAAa/f/U=")</f>
        <v>#REF!</v>
      </c>
      <c r="IM72" t="e">
        <f>AND(#REF!,"AAAAAAa/f/Y=")</f>
        <v>#REF!</v>
      </c>
      <c r="IN72" t="e">
        <f>AND(#REF!,"AAAAAAa/f/c=")</f>
        <v>#REF!</v>
      </c>
      <c r="IO72" t="e">
        <f>AND(#REF!,"AAAAAAa/f/g=")</f>
        <v>#REF!</v>
      </c>
      <c r="IP72" t="e">
        <f>AND(#REF!,"AAAAAAa/f/k=")</f>
        <v>#REF!</v>
      </c>
      <c r="IQ72" t="e">
        <f>IF(#REF!,"AAAAAAa/f/o=",0)</f>
        <v>#REF!</v>
      </c>
      <c r="IR72" t="e">
        <f>AND(#REF!,"AAAAAAa/f/s=")</f>
        <v>#REF!</v>
      </c>
      <c r="IS72" t="e">
        <f>AND(#REF!,"AAAAAAa/f/w=")</f>
        <v>#REF!</v>
      </c>
      <c r="IT72" t="e">
        <f>AND(#REF!,"AAAAAAa/f/0=")</f>
        <v>#REF!</v>
      </c>
      <c r="IU72" t="e">
        <f>AND(#REF!,"AAAAAAa/f/4=")</f>
        <v>#REF!</v>
      </c>
      <c r="IV72" t="e">
        <f>AND(#REF!,"AAAAAAa/f/8=")</f>
        <v>#REF!</v>
      </c>
    </row>
    <row r="73" spans="1:256" x14ac:dyDescent="0.15">
      <c r="A73" t="e">
        <f>AND(#REF!,"AAAAAHv/7wA=")</f>
        <v>#REF!</v>
      </c>
      <c r="B73" t="e">
        <f>AND(#REF!,"AAAAAHv/7wE=")</f>
        <v>#REF!</v>
      </c>
      <c r="C73" t="e">
        <f>AND(#REF!,"AAAAAHv/7wI=")</f>
        <v>#REF!</v>
      </c>
      <c r="D73" t="e">
        <f>AND(#REF!,"AAAAAHv/7wM=")</f>
        <v>#REF!</v>
      </c>
      <c r="E73" t="e">
        <f>AND(#REF!,"AAAAAHv/7wQ=")</f>
        <v>#REF!</v>
      </c>
      <c r="F73" t="e">
        <f>AND(#REF!,"AAAAAHv/7wU=")</f>
        <v>#REF!</v>
      </c>
      <c r="G73" t="e">
        <f>AND(#REF!,"AAAAAHv/7wY=")</f>
        <v>#REF!</v>
      </c>
      <c r="H73" t="e">
        <f>AND(#REF!,"AAAAAHv/7wc=")</f>
        <v>#REF!</v>
      </c>
      <c r="I73" t="e">
        <f>AND(#REF!,"AAAAAHv/7wg=")</f>
        <v>#REF!</v>
      </c>
      <c r="J73" t="e">
        <f>IF(#REF!,"AAAAAHv/7wk=",0)</f>
        <v>#REF!</v>
      </c>
      <c r="K73" t="e">
        <f>AND(#REF!,"AAAAAHv/7wo=")</f>
        <v>#REF!</v>
      </c>
      <c r="L73" t="e">
        <f>AND(#REF!,"AAAAAHv/7ws=")</f>
        <v>#REF!</v>
      </c>
      <c r="M73" t="e">
        <f>AND(#REF!,"AAAAAHv/7ww=")</f>
        <v>#REF!</v>
      </c>
      <c r="N73" t="e">
        <f>AND(#REF!,"AAAAAHv/7w0=")</f>
        <v>#REF!</v>
      </c>
      <c r="O73" t="e">
        <f>AND(#REF!,"AAAAAHv/7w4=")</f>
        <v>#REF!</v>
      </c>
      <c r="P73" t="e">
        <f>AND(#REF!,"AAAAAHv/7w8=")</f>
        <v>#REF!</v>
      </c>
      <c r="Q73" t="e">
        <f>AND(#REF!,"AAAAAHv/7xA=")</f>
        <v>#REF!</v>
      </c>
      <c r="R73" t="e">
        <f>AND(#REF!,"AAAAAHv/7xE=")</f>
        <v>#REF!</v>
      </c>
      <c r="S73" t="e">
        <f>AND(#REF!,"AAAAAHv/7xI=")</f>
        <v>#REF!</v>
      </c>
      <c r="T73" t="e">
        <f>AND(#REF!,"AAAAAHv/7xM=")</f>
        <v>#REF!</v>
      </c>
      <c r="U73" t="e">
        <f>AND(#REF!,"AAAAAHv/7xQ=")</f>
        <v>#REF!</v>
      </c>
      <c r="V73" t="e">
        <f>AND(#REF!,"AAAAAHv/7xU=")</f>
        <v>#REF!</v>
      </c>
      <c r="W73" t="e">
        <f>AND(#REF!,"AAAAAHv/7xY=")</f>
        <v>#REF!</v>
      </c>
      <c r="X73" t="e">
        <f>AND(#REF!,"AAAAAHv/7xc=")</f>
        <v>#REF!</v>
      </c>
      <c r="Y73" t="e">
        <f>IF(#REF!,"AAAAAHv/7xg=",0)</f>
        <v>#REF!</v>
      </c>
      <c r="Z73" t="e">
        <f>AND(#REF!,"AAAAAHv/7xk=")</f>
        <v>#REF!</v>
      </c>
      <c r="AA73" t="e">
        <f>AND(#REF!,"AAAAAHv/7xo=")</f>
        <v>#REF!</v>
      </c>
      <c r="AB73" t="e">
        <f>AND(#REF!,"AAAAAHv/7xs=")</f>
        <v>#REF!</v>
      </c>
      <c r="AC73" t="e">
        <f>AND(#REF!,"AAAAAHv/7xw=")</f>
        <v>#REF!</v>
      </c>
      <c r="AD73" t="e">
        <f>AND(#REF!,"AAAAAHv/7x0=")</f>
        <v>#REF!</v>
      </c>
      <c r="AE73" t="e">
        <f>AND(#REF!,"AAAAAHv/7x4=")</f>
        <v>#REF!</v>
      </c>
      <c r="AF73" t="e">
        <f>AND(#REF!,"AAAAAHv/7x8=")</f>
        <v>#REF!</v>
      </c>
      <c r="AG73" t="e">
        <f>AND(#REF!,"AAAAAHv/7yA=")</f>
        <v>#REF!</v>
      </c>
      <c r="AH73" t="e">
        <f>AND(#REF!,"AAAAAHv/7yE=")</f>
        <v>#REF!</v>
      </c>
      <c r="AI73" t="e">
        <f>AND(#REF!,"AAAAAHv/7yI=")</f>
        <v>#REF!</v>
      </c>
      <c r="AJ73" t="e">
        <f>AND(#REF!,"AAAAAHv/7yM=")</f>
        <v>#REF!</v>
      </c>
      <c r="AK73" t="e">
        <f>AND(#REF!,"AAAAAHv/7yQ=")</f>
        <v>#REF!</v>
      </c>
      <c r="AL73" t="e">
        <f>AND(#REF!,"AAAAAHv/7yU=")</f>
        <v>#REF!</v>
      </c>
      <c r="AM73" t="e">
        <f>AND(#REF!,"AAAAAHv/7yY=")</f>
        <v>#REF!</v>
      </c>
      <c r="AN73" t="e">
        <f>IF(#REF!,"AAAAAHv/7yc=",0)</f>
        <v>#REF!</v>
      </c>
      <c r="AO73" t="e">
        <f>AND(#REF!,"AAAAAHv/7yg=")</f>
        <v>#REF!</v>
      </c>
      <c r="AP73" t="e">
        <f>AND(#REF!,"AAAAAHv/7yk=")</f>
        <v>#REF!</v>
      </c>
      <c r="AQ73" t="e">
        <f>AND(#REF!,"AAAAAHv/7yo=")</f>
        <v>#REF!</v>
      </c>
      <c r="AR73" t="e">
        <f>AND(#REF!,"AAAAAHv/7ys=")</f>
        <v>#REF!</v>
      </c>
      <c r="AS73" t="e">
        <f>AND(#REF!,"AAAAAHv/7yw=")</f>
        <v>#REF!</v>
      </c>
      <c r="AT73" t="e">
        <f>AND(#REF!,"AAAAAHv/7y0=")</f>
        <v>#REF!</v>
      </c>
      <c r="AU73" t="e">
        <f>AND(#REF!,"AAAAAHv/7y4=")</f>
        <v>#REF!</v>
      </c>
      <c r="AV73" t="e">
        <f>AND(#REF!,"AAAAAHv/7y8=")</f>
        <v>#REF!</v>
      </c>
      <c r="AW73" t="e">
        <f>AND(#REF!,"AAAAAHv/7zA=")</f>
        <v>#REF!</v>
      </c>
      <c r="AX73" t="e">
        <f>AND(#REF!,"AAAAAHv/7zE=")</f>
        <v>#REF!</v>
      </c>
      <c r="AY73" t="e">
        <f>AND(#REF!,"AAAAAHv/7zI=")</f>
        <v>#REF!</v>
      </c>
      <c r="AZ73" t="e">
        <f>AND(#REF!,"AAAAAHv/7zM=")</f>
        <v>#REF!</v>
      </c>
      <c r="BA73" t="e">
        <f>AND(#REF!,"AAAAAHv/7zQ=")</f>
        <v>#REF!</v>
      </c>
      <c r="BB73" t="e">
        <f>AND(#REF!,"AAAAAHv/7zU=")</f>
        <v>#REF!</v>
      </c>
      <c r="BC73" t="e">
        <f>IF(#REF!,"AAAAAHv/7zY=",0)</f>
        <v>#REF!</v>
      </c>
      <c r="BD73" t="e">
        <f>AND(#REF!,"AAAAAHv/7zc=")</f>
        <v>#REF!</v>
      </c>
      <c r="BE73" t="e">
        <f>AND(#REF!,"AAAAAHv/7zg=")</f>
        <v>#REF!</v>
      </c>
      <c r="BF73" t="e">
        <f>AND(#REF!,"AAAAAHv/7zk=")</f>
        <v>#REF!</v>
      </c>
      <c r="BG73" t="e">
        <f>AND(#REF!,"AAAAAHv/7zo=")</f>
        <v>#REF!</v>
      </c>
      <c r="BH73" t="e">
        <f>AND(#REF!,"AAAAAHv/7zs=")</f>
        <v>#REF!</v>
      </c>
      <c r="BI73" t="e">
        <f>AND(#REF!,"AAAAAHv/7zw=")</f>
        <v>#REF!</v>
      </c>
      <c r="BJ73" t="e">
        <f>AND(#REF!,"AAAAAHv/7z0=")</f>
        <v>#REF!</v>
      </c>
      <c r="BK73" t="e">
        <f>AND(#REF!,"AAAAAHv/7z4=")</f>
        <v>#REF!</v>
      </c>
      <c r="BL73" t="e">
        <f>AND(#REF!,"AAAAAHv/7z8=")</f>
        <v>#REF!</v>
      </c>
      <c r="BM73" t="e">
        <f>AND(#REF!,"AAAAAHv/70A=")</f>
        <v>#REF!</v>
      </c>
      <c r="BN73" t="e">
        <f>AND(#REF!,"AAAAAHv/70E=")</f>
        <v>#REF!</v>
      </c>
      <c r="BO73" t="e">
        <f>AND(#REF!,"AAAAAHv/70I=")</f>
        <v>#REF!</v>
      </c>
      <c r="BP73" t="e">
        <f>AND(#REF!,"AAAAAHv/70M=")</f>
        <v>#REF!</v>
      </c>
      <c r="BQ73" t="e">
        <f>AND(#REF!,"AAAAAHv/70Q=")</f>
        <v>#REF!</v>
      </c>
      <c r="BR73" t="e">
        <f>IF(#REF!,"AAAAAHv/70U=",0)</f>
        <v>#REF!</v>
      </c>
      <c r="BS73" t="e">
        <f>AND(#REF!,"AAAAAHv/70Y=")</f>
        <v>#REF!</v>
      </c>
      <c r="BT73" t="e">
        <f>AND(#REF!,"AAAAAHv/70c=")</f>
        <v>#REF!</v>
      </c>
      <c r="BU73" t="e">
        <f>AND(#REF!,"AAAAAHv/70g=")</f>
        <v>#REF!</v>
      </c>
      <c r="BV73" t="e">
        <f>AND(#REF!,"AAAAAHv/70k=")</f>
        <v>#REF!</v>
      </c>
      <c r="BW73" t="e">
        <f>AND(#REF!,"AAAAAHv/70o=")</f>
        <v>#REF!</v>
      </c>
      <c r="BX73" t="e">
        <f>AND(#REF!,"AAAAAHv/70s=")</f>
        <v>#REF!</v>
      </c>
      <c r="BY73" t="e">
        <f>AND(#REF!,"AAAAAHv/70w=")</f>
        <v>#REF!</v>
      </c>
      <c r="BZ73" t="e">
        <f>AND(#REF!,"AAAAAHv/700=")</f>
        <v>#REF!</v>
      </c>
      <c r="CA73" t="e">
        <f>AND(#REF!,"AAAAAHv/704=")</f>
        <v>#REF!</v>
      </c>
      <c r="CB73" t="e">
        <f>AND(#REF!,"AAAAAHv/708=")</f>
        <v>#REF!</v>
      </c>
      <c r="CC73" t="e">
        <f>AND(#REF!,"AAAAAHv/71A=")</f>
        <v>#REF!</v>
      </c>
      <c r="CD73" t="e">
        <f>AND(#REF!,"AAAAAHv/71E=")</f>
        <v>#REF!</v>
      </c>
      <c r="CE73" t="e">
        <f>AND(#REF!,"AAAAAHv/71I=")</f>
        <v>#REF!</v>
      </c>
      <c r="CF73" t="e">
        <f>AND(#REF!,"AAAAAHv/71M=")</f>
        <v>#REF!</v>
      </c>
      <c r="CG73" t="e">
        <f>IF(#REF!,"AAAAAHv/71Q=",0)</f>
        <v>#REF!</v>
      </c>
      <c r="CH73" t="e">
        <f>AND(#REF!,"AAAAAHv/71U=")</f>
        <v>#REF!</v>
      </c>
      <c r="CI73" t="e">
        <f>AND(#REF!,"AAAAAHv/71Y=")</f>
        <v>#REF!</v>
      </c>
      <c r="CJ73" t="e">
        <f>AND(#REF!,"AAAAAHv/71c=")</f>
        <v>#REF!</v>
      </c>
      <c r="CK73" t="e">
        <f>AND(#REF!,"AAAAAHv/71g=")</f>
        <v>#REF!</v>
      </c>
      <c r="CL73" t="e">
        <f>AND(#REF!,"AAAAAHv/71k=")</f>
        <v>#REF!</v>
      </c>
      <c r="CM73" t="e">
        <f>AND(#REF!,"AAAAAHv/71o=")</f>
        <v>#REF!</v>
      </c>
      <c r="CN73" t="e">
        <f>AND(#REF!,"AAAAAHv/71s=")</f>
        <v>#REF!</v>
      </c>
      <c r="CO73" t="e">
        <f>AND(#REF!,"AAAAAHv/71w=")</f>
        <v>#REF!</v>
      </c>
      <c r="CP73" t="e">
        <f>AND(#REF!,"AAAAAHv/710=")</f>
        <v>#REF!</v>
      </c>
      <c r="CQ73" t="e">
        <f>AND(#REF!,"AAAAAHv/714=")</f>
        <v>#REF!</v>
      </c>
      <c r="CR73" t="e">
        <f>AND(#REF!,"AAAAAHv/718=")</f>
        <v>#REF!</v>
      </c>
      <c r="CS73" t="e">
        <f>AND(#REF!,"AAAAAHv/72A=")</f>
        <v>#REF!</v>
      </c>
      <c r="CT73" t="e">
        <f>AND(#REF!,"AAAAAHv/72E=")</f>
        <v>#REF!</v>
      </c>
      <c r="CU73" t="e">
        <f>AND(#REF!,"AAAAAHv/72I=")</f>
        <v>#REF!</v>
      </c>
      <c r="CV73" t="e">
        <f>IF(#REF!,"AAAAAHv/72M=",0)</f>
        <v>#REF!</v>
      </c>
      <c r="CW73" t="e">
        <f>AND(#REF!,"AAAAAHv/72Q=")</f>
        <v>#REF!</v>
      </c>
      <c r="CX73" t="e">
        <f>AND(#REF!,"AAAAAHv/72U=")</f>
        <v>#REF!</v>
      </c>
      <c r="CY73" t="e">
        <f>AND(#REF!,"AAAAAHv/72Y=")</f>
        <v>#REF!</v>
      </c>
      <c r="CZ73" t="e">
        <f>AND(#REF!,"AAAAAHv/72c=")</f>
        <v>#REF!</v>
      </c>
      <c r="DA73" t="e">
        <f>AND(#REF!,"AAAAAHv/72g=")</f>
        <v>#REF!</v>
      </c>
      <c r="DB73" t="e">
        <f>AND(#REF!,"AAAAAHv/72k=")</f>
        <v>#REF!</v>
      </c>
      <c r="DC73" t="e">
        <f>AND(#REF!,"AAAAAHv/72o=")</f>
        <v>#REF!</v>
      </c>
      <c r="DD73" t="e">
        <f>AND(#REF!,"AAAAAHv/72s=")</f>
        <v>#REF!</v>
      </c>
      <c r="DE73" t="e">
        <f>AND(#REF!,"AAAAAHv/72w=")</f>
        <v>#REF!</v>
      </c>
      <c r="DF73" t="e">
        <f>AND(#REF!,"AAAAAHv/720=")</f>
        <v>#REF!</v>
      </c>
      <c r="DG73" t="e">
        <f>AND(#REF!,"AAAAAHv/724=")</f>
        <v>#REF!</v>
      </c>
      <c r="DH73" t="e">
        <f>AND(#REF!,"AAAAAHv/728=")</f>
        <v>#REF!</v>
      </c>
      <c r="DI73" t="e">
        <f>AND(#REF!,"AAAAAHv/73A=")</f>
        <v>#REF!</v>
      </c>
      <c r="DJ73" t="e">
        <f>AND(#REF!,"AAAAAHv/73E=")</f>
        <v>#REF!</v>
      </c>
      <c r="DK73" t="e">
        <f>IF(#REF!,"AAAAAHv/73I=",0)</f>
        <v>#REF!</v>
      </c>
      <c r="DL73" t="e">
        <f>AND(#REF!,"AAAAAHv/73M=")</f>
        <v>#REF!</v>
      </c>
      <c r="DM73" t="e">
        <f>AND(#REF!,"AAAAAHv/73Q=")</f>
        <v>#REF!</v>
      </c>
      <c r="DN73" t="e">
        <f>AND(#REF!,"AAAAAHv/73U=")</f>
        <v>#REF!</v>
      </c>
      <c r="DO73" t="e">
        <f>AND(#REF!,"AAAAAHv/73Y=")</f>
        <v>#REF!</v>
      </c>
      <c r="DP73" t="e">
        <f>AND(#REF!,"AAAAAHv/73c=")</f>
        <v>#REF!</v>
      </c>
      <c r="DQ73" t="e">
        <f>AND(#REF!,"AAAAAHv/73g=")</f>
        <v>#REF!</v>
      </c>
      <c r="DR73" t="e">
        <f>AND(#REF!,"AAAAAHv/73k=")</f>
        <v>#REF!</v>
      </c>
      <c r="DS73" t="e">
        <f>AND(#REF!,"AAAAAHv/73o=")</f>
        <v>#REF!</v>
      </c>
      <c r="DT73" t="e">
        <f>AND(#REF!,"AAAAAHv/73s=")</f>
        <v>#REF!</v>
      </c>
      <c r="DU73" t="e">
        <f>AND(#REF!,"AAAAAHv/73w=")</f>
        <v>#REF!</v>
      </c>
      <c r="DV73" t="e">
        <f>AND(#REF!,"AAAAAHv/730=")</f>
        <v>#REF!</v>
      </c>
      <c r="DW73" t="e">
        <f>AND(#REF!,"AAAAAHv/734=")</f>
        <v>#REF!</v>
      </c>
      <c r="DX73" t="e">
        <f>AND(#REF!,"AAAAAHv/738=")</f>
        <v>#REF!</v>
      </c>
      <c r="DY73" t="e">
        <f>AND(#REF!,"AAAAAHv/74A=")</f>
        <v>#REF!</v>
      </c>
      <c r="DZ73" t="e">
        <f>IF(#REF!,"AAAAAHv/74E=",0)</f>
        <v>#REF!</v>
      </c>
      <c r="EA73" t="e">
        <f>AND(#REF!,"AAAAAHv/74I=")</f>
        <v>#REF!</v>
      </c>
      <c r="EB73" t="e">
        <f>AND(#REF!,"AAAAAHv/74M=")</f>
        <v>#REF!</v>
      </c>
      <c r="EC73" t="e">
        <f>AND(#REF!,"AAAAAHv/74Q=")</f>
        <v>#REF!</v>
      </c>
      <c r="ED73" t="e">
        <f>AND(#REF!,"AAAAAHv/74U=")</f>
        <v>#REF!</v>
      </c>
      <c r="EE73" t="e">
        <f>AND(#REF!,"AAAAAHv/74Y=")</f>
        <v>#REF!</v>
      </c>
      <c r="EF73" t="e">
        <f>AND(#REF!,"AAAAAHv/74c=")</f>
        <v>#REF!</v>
      </c>
      <c r="EG73" t="e">
        <f>AND(#REF!,"AAAAAHv/74g=")</f>
        <v>#REF!</v>
      </c>
      <c r="EH73" t="e">
        <f>AND(#REF!,"AAAAAHv/74k=")</f>
        <v>#REF!</v>
      </c>
      <c r="EI73" t="e">
        <f>AND(#REF!,"AAAAAHv/74o=")</f>
        <v>#REF!</v>
      </c>
      <c r="EJ73" t="e">
        <f>AND(#REF!,"AAAAAHv/74s=")</f>
        <v>#REF!</v>
      </c>
      <c r="EK73" t="e">
        <f>AND(#REF!,"AAAAAHv/74w=")</f>
        <v>#REF!</v>
      </c>
      <c r="EL73" t="e">
        <f>AND(#REF!,"AAAAAHv/740=")</f>
        <v>#REF!</v>
      </c>
      <c r="EM73" t="e">
        <f>AND(#REF!,"AAAAAHv/744=")</f>
        <v>#REF!</v>
      </c>
      <c r="EN73" t="e">
        <f>AND(#REF!,"AAAAAHv/748=")</f>
        <v>#REF!</v>
      </c>
      <c r="EO73" t="e">
        <f>IF(#REF!,"AAAAAHv/75A=",0)</f>
        <v>#REF!</v>
      </c>
      <c r="EP73" t="e">
        <f>AND(#REF!,"AAAAAHv/75E=")</f>
        <v>#REF!</v>
      </c>
      <c r="EQ73" t="e">
        <f>AND(#REF!,"AAAAAHv/75I=")</f>
        <v>#REF!</v>
      </c>
      <c r="ER73" t="e">
        <f>AND(#REF!,"AAAAAHv/75M=")</f>
        <v>#REF!</v>
      </c>
      <c r="ES73" t="e">
        <f>AND(#REF!,"AAAAAHv/75Q=")</f>
        <v>#REF!</v>
      </c>
      <c r="ET73" t="e">
        <f>AND(#REF!,"AAAAAHv/75U=")</f>
        <v>#REF!</v>
      </c>
      <c r="EU73" t="e">
        <f>AND(#REF!,"AAAAAHv/75Y=")</f>
        <v>#REF!</v>
      </c>
      <c r="EV73" t="e">
        <f>AND(#REF!,"AAAAAHv/75c=")</f>
        <v>#REF!</v>
      </c>
      <c r="EW73" t="e">
        <f>AND(#REF!,"AAAAAHv/75g=")</f>
        <v>#REF!</v>
      </c>
      <c r="EX73" t="e">
        <f>AND(#REF!,"AAAAAHv/75k=")</f>
        <v>#REF!</v>
      </c>
      <c r="EY73" t="e">
        <f>AND(#REF!,"AAAAAHv/75o=")</f>
        <v>#REF!</v>
      </c>
      <c r="EZ73" t="e">
        <f>AND(#REF!,"AAAAAHv/75s=")</f>
        <v>#REF!</v>
      </c>
      <c r="FA73" t="e">
        <f>AND(#REF!,"AAAAAHv/75w=")</f>
        <v>#REF!</v>
      </c>
      <c r="FB73" t="e">
        <f>AND(#REF!,"AAAAAHv/750=")</f>
        <v>#REF!</v>
      </c>
      <c r="FC73" t="e">
        <f>AND(#REF!,"AAAAAHv/754=")</f>
        <v>#REF!</v>
      </c>
      <c r="FD73" t="e">
        <f>IF(#REF!,"AAAAAHv/758=",0)</f>
        <v>#REF!</v>
      </c>
      <c r="FE73" t="e">
        <f>AND(#REF!,"AAAAAHv/76A=")</f>
        <v>#REF!</v>
      </c>
      <c r="FF73" t="e">
        <f>AND(#REF!,"AAAAAHv/76E=")</f>
        <v>#REF!</v>
      </c>
      <c r="FG73" t="e">
        <f>AND(#REF!,"AAAAAHv/76I=")</f>
        <v>#REF!</v>
      </c>
      <c r="FH73" t="e">
        <f>AND(#REF!,"AAAAAHv/76M=")</f>
        <v>#REF!</v>
      </c>
      <c r="FI73" t="e">
        <f>AND(#REF!,"AAAAAHv/76Q=")</f>
        <v>#REF!</v>
      </c>
      <c r="FJ73" t="e">
        <f>AND(#REF!,"AAAAAHv/76U=")</f>
        <v>#REF!</v>
      </c>
      <c r="FK73" t="e">
        <f>AND(#REF!,"AAAAAHv/76Y=")</f>
        <v>#REF!</v>
      </c>
      <c r="FL73" t="e">
        <f>AND(#REF!,"AAAAAHv/76c=")</f>
        <v>#REF!</v>
      </c>
      <c r="FM73" t="e">
        <f>AND(#REF!,"AAAAAHv/76g=")</f>
        <v>#REF!</v>
      </c>
      <c r="FN73" t="e">
        <f>AND(#REF!,"AAAAAHv/76k=")</f>
        <v>#REF!</v>
      </c>
      <c r="FO73" t="e">
        <f>AND(#REF!,"AAAAAHv/76o=")</f>
        <v>#REF!</v>
      </c>
      <c r="FP73" t="e">
        <f>AND(#REF!,"AAAAAHv/76s=")</f>
        <v>#REF!</v>
      </c>
      <c r="FQ73" t="e">
        <f>AND(#REF!,"AAAAAHv/76w=")</f>
        <v>#REF!</v>
      </c>
      <c r="FR73" t="e">
        <f>AND(#REF!,"AAAAAHv/760=")</f>
        <v>#REF!</v>
      </c>
      <c r="FS73" t="e">
        <f>IF(#REF!,"AAAAAHv/764=",0)</f>
        <v>#REF!</v>
      </c>
      <c r="FT73" t="e">
        <f>AND(#REF!,"AAAAAHv/768=")</f>
        <v>#REF!</v>
      </c>
      <c r="FU73" t="e">
        <f>AND(#REF!,"AAAAAHv/77A=")</f>
        <v>#REF!</v>
      </c>
      <c r="FV73" t="e">
        <f>AND(#REF!,"AAAAAHv/77E=")</f>
        <v>#REF!</v>
      </c>
      <c r="FW73" t="e">
        <f>AND(#REF!,"AAAAAHv/77I=")</f>
        <v>#REF!</v>
      </c>
      <c r="FX73" t="e">
        <f>AND(#REF!,"AAAAAHv/77M=")</f>
        <v>#REF!</v>
      </c>
      <c r="FY73" t="e">
        <f>AND(#REF!,"AAAAAHv/77Q=")</f>
        <v>#REF!</v>
      </c>
      <c r="FZ73" t="e">
        <f>AND(#REF!,"AAAAAHv/77U=")</f>
        <v>#REF!</v>
      </c>
      <c r="GA73" t="e">
        <f>AND(#REF!,"AAAAAHv/77Y=")</f>
        <v>#REF!</v>
      </c>
      <c r="GB73" t="e">
        <f>AND(#REF!,"AAAAAHv/77c=")</f>
        <v>#REF!</v>
      </c>
      <c r="GC73" t="e">
        <f>AND(#REF!,"AAAAAHv/77g=")</f>
        <v>#REF!</v>
      </c>
      <c r="GD73" t="e">
        <f>AND(#REF!,"AAAAAHv/77k=")</f>
        <v>#REF!</v>
      </c>
      <c r="GE73" t="e">
        <f>AND(#REF!,"AAAAAHv/77o=")</f>
        <v>#REF!</v>
      </c>
      <c r="GF73" t="e">
        <f>AND(#REF!,"AAAAAHv/77s=")</f>
        <v>#REF!</v>
      </c>
      <c r="GG73" t="e">
        <f>AND(#REF!,"AAAAAHv/77w=")</f>
        <v>#REF!</v>
      </c>
      <c r="GH73" t="e">
        <f>IF(#REF!,"AAAAAHv/770=",0)</f>
        <v>#REF!</v>
      </c>
      <c r="GI73" t="e">
        <f>AND(#REF!,"AAAAAHv/774=")</f>
        <v>#REF!</v>
      </c>
      <c r="GJ73" t="e">
        <f>AND(#REF!,"AAAAAHv/778=")</f>
        <v>#REF!</v>
      </c>
      <c r="GK73" t="e">
        <f>AND(#REF!,"AAAAAHv/78A=")</f>
        <v>#REF!</v>
      </c>
      <c r="GL73" t="e">
        <f>AND(#REF!,"AAAAAHv/78E=")</f>
        <v>#REF!</v>
      </c>
      <c r="GM73" t="e">
        <f>AND(#REF!,"AAAAAHv/78I=")</f>
        <v>#REF!</v>
      </c>
      <c r="GN73" t="e">
        <f>AND(#REF!,"AAAAAHv/78M=")</f>
        <v>#REF!</v>
      </c>
      <c r="GO73" t="e">
        <f>AND(#REF!,"AAAAAHv/78Q=")</f>
        <v>#REF!</v>
      </c>
      <c r="GP73" t="e">
        <f>AND(#REF!,"AAAAAHv/78U=")</f>
        <v>#REF!</v>
      </c>
      <c r="GQ73" t="e">
        <f>AND(#REF!,"AAAAAHv/78Y=")</f>
        <v>#REF!</v>
      </c>
      <c r="GR73" t="e">
        <f>AND(#REF!,"AAAAAHv/78c=")</f>
        <v>#REF!</v>
      </c>
      <c r="GS73" t="e">
        <f>AND(#REF!,"AAAAAHv/78g=")</f>
        <v>#REF!</v>
      </c>
      <c r="GT73" t="e">
        <f>AND(#REF!,"AAAAAHv/78k=")</f>
        <v>#REF!</v>
      </c>
      <c r="GU73" t="e">
        <f>AND(#REF!,"AAAAAHv/78o=")</f>
        <v>#REF!</v>
      </c>
      <c r="GV73" t="e">
        <f>AND(#REF!,"AAAAAHv/78s=")</f>
        <v>#REF!</v>
      </c>
      <c r="GW73" t="e">
        <f>IF(#REF!,"AAAAAHv/78w=",0)</f>
        <v>#REF!</v>
      </c>
      <c r="GX73" t="e">
        <f>AND(#REF!,"AAAAAHv/780=")</f>
        <v>#REF!</v>
      </c>
      <c r="GY73" t="e">
        <f>AND(#REF!,"AAAAAHv/784=")</f>
        <v>#REF!</v>
      </c>
      <c r="GZ73" t="e">
        <f>AND(#REF!,"AAAAAHv/788=")</f>
        <v>#REF!</v>
      </c>
      <c r="HA73" t="e">
        <f>AND(#REF!,"AAAAAHv/79A=")</f>
        <v>#REF!</v>
      </c>
      <c r="HB73" t="e">
        <f>AND(#REF!,"AAAAAHv/79E=")</f>
        <v>#REF!</v>
      </c>
      <c r="HC73" t="e">
        <f>AND(#REF!,"AAAAAHv/79I=")</f>
        <v>#REF!</v>
      </c>
      <c r="HD73" t="e">
        <f>AND(#REF!,"AAAAAHv/79M=")</f>
        <v>#REF!</v>
      </c>
      <c r="HE73" t="e">
        <f>AND(#REF!,"AAAAAHv/79Q=")</f>
        <v>#REF!</v>
      </c>
      <c r="HF73" t="e">
        <f>AND(#REF!,"AAAAAHv/79U=")</f>
        <v>#REF!</v>
      </c>
      <c r="HG73" t="e">
        <f>AND(#REF!,"AAAAAHv/79Y=")</f>
        <v>#REF!</v>
      </c>
      <c r="HH73" t="e">
        <f>AND(#REF!,"AAAAAHv/79c=")</f>
        <v>#REF!</v>
      </c>
      <c r="HI73" t="e">
        <f>AND(#REF!,"AAAAAHv/79g=")</f>
        <v>#REF!</v>
      </c>
      <c r="HJ73" t="e">
        <f>AND(#REF!,"AAAAAHv/79k=")</f>
        <v>#REF!</v>
      </c>
      <c r="HK73" t="e">
        <f>AND(#REF!,"AAAAAHv/79o=")</f>
        <v>#REF!</v>
      </c>
      <c r="HL73" t="e">
        <f>IF(#REF!,"AAAAAHv/79s=",0)</f>
        <v>#REF!</v>
      </c>
      <c r="HM73" t="e">
        <f>AND(#REF!,"AAAAAHv/79w=")</f>
        <v>#REF!</v>
      </c>
      <c r="HN73" t="e">
        <f>AND(#REF!,"AAAAAHv/790=")</f>
        <v>#REF!</v>
      </c>
      <c r="HO73" t="e">
        <f>AND(#REF!,"AAAAAHv/794=")</f>
        <v>#REF!</v>
      </c>
      <c r="HP73" t="e">
        <f>AND(#REF!,"AAAAAHv/798=")</f>
        <v>#REF!</v>
      </c>
      <c r="HQ73" t="e">
        <f>AND(#REF!,"AAAAAHv/7+A=")</f>
        <v>#REF!</v>
      </c>
      <c r="HR73" t="e">
        <f>AND(#REF!,"AAAAAHv/7+E=")</f>
        <v>#REF!</v>
      </c>
      <c r="HS73" t="e">
        <f>AND(#REF!,"AAAAAHv/7+I=")</f>
        <v>#REF!</v>
      </c>
      <c r="HT73" t="e">
        <f>AND(#REF!,"AAAAAHv/7+M=")</f>
        <v>#REF!</v>
      </c>
      <c r="HU73" t="e">
        <f>AND(#REF!,"AAAAAHv/7+Q=")</f>
        <v>#REF!</v>
      </c>
      <c r="HV73" t="e">
        <f>AND(#REF!,"AAAAAHv/7+U=")</f>
        <v>#REF!</v>
      </c>
      <c r="HW73" t="e">
        <f>AND(#REF!,"AAAAAHv/7+Y=")</f>
        <v>#REF!</v>
      </c>
      <c r="HX73" t="e">
        <f>AND(#REF!,"AAAAAHv/7+c=")</f>
        <v>#REF!</v>
      </c>
      <c r="HY73" t="e">
        <f>AND(#REF!,"AAAAAHv/7+g=")</f>
        <v>#REF!</v>
      </c>
      <c r="HZ73" t="e">
        <f>AND(#REF!,"AAAAAHv/7+k=")</f>
        <v>#REF!</v>
      </c>
      <c r="IA73" t="e">
        <f>IF(#REF!,"AAAAAHv/7+o=",0)</f>
        <v>#REF!</v>
      </c>
      <c r="IB73" t="e">
        <f>AND(#REF!,"AAAAAHv/7+s=")</f>
        <v>#REF!</v>
      </c>
      <c r="IC73" t="e">
        <f>AND(#REF!,"AAAAAHv/7+w=")</f>
        <v>#REF!</v>
      </c>
      <c r="ID73" t="e">
        <f>AND(#REF!,"AAAAAHv/7+0=")</f>
        <v>#REF!</v>
      </c>
      <c r="IE73" t="e">
        <f>AND(#REF!,"AAAAAHv/7+4=")</f>
        <v>#REF!</v>
      </c>
      <c r="IF73" t="e">
        <f>AND(#REF!,"AAAAAHv/7+8=")</f>
        <v>#REF!</v>
      </c>
      <c r="IG73" t="e">
        <f>AND(#REF!,"AAAAAHv/7/A=")</f>
        <v>#REF!</v>
      </c>
      <c r="IH73" t="e">
        <f>AND(#REF!,"AAAAAHv/7/E=")</f>
        <v>#REF!</v>
      </c>
      <c r="II73" t="e">
        <f>AND(#REF!,"AAAAAHv/7/I=")</f>
        <v>#REF!</v>
      </c>
      <c r="IJ73" t="e">
        <f>AND(#REF!,"AAAAAHv/7/M=")</f>
        <v>#REF!</v>
      </c>
      <c r="IK73" t="e">
        <f>AND(#REF!,"AAAAAHv/7/Q=")</f>
        <v>#REF!</v>
      </c>
      <c r="IL73" t="e">
        <f>AND(#REF!,"AAAAAHv/7/U=")</f>
        <v>#REF!</v>
      </c>
      <c r="IM73" t="e">
        <f>AND(#REF!,"AAAAAHv/7/Y=")</f>
        <v>#REF!</v>
      </c>
      <c r="IN73" t="e">
        <f>AND(#REF!,"AAAAAHv/7/c=")</f>
        <v>#REF!</v>
      </c>
      <c r="IO73" t="e">
        <f>AND(#REF!,"AAAAAHv/7/g=")</f>
        <v>#REF!</v>
      </c>
      <c r="IP73" t="e">
        <f>IF(#REF!,"AAAAAHv/7/k=",0)</f>
        <v>#REF!</v>
      </c>
      <c r="IQ73" t="e">
        <f>AND(#REF!,"AAAAAHv/7/o=")</f>
        <v>#REF!</v>
      </c>
      <c r="IR73" t="e">
        <f>AND(#REF!,"AAAAAHv/7/s=")</f>
        <v>#REF!</v>
      </c>
      <c r="IS73" t="e">
        <f>AND(#REF!,"AAAAAHv/7/w=")</f>
        <v>#REF!</v>
      </c>
      <c r="IT73" t="e">
        <f>AND(#REF!,"AAAAAHv/7/0=")</f>
        <v>#REF!</v>
      </c>
      <c r="IU73" t="e">
        <f>AND(#REF!,"AAAAAHv/7/4=")</f>
        <v>#REF!</v>
      </c>
      <c r="IV73" t="e">
        <f>AND(#REF!,"AAAAAHv/7/8=")</f>
        <v>#REF!</v>
      </c>
    </row>
    <row r="74" spans="1:256" x14ac:dyDescent="0.15">
      <c r="A74" t="e">
        <f>AND(#REF!,"AAAAADn92wA=")</f>
        <v>#REF!</v>
      </c>
      <c r="B74" t="e">
        <f>AND(#REF!,"AAAAADn92wE=")</f>
        <v>#REF!</v>
      </c>
      <c r="C74" t="e">
        <f>AND(#REF!,"AAAAADn92wI=")</f>
        <v>#REF!</v>
      </c>
      <c r="D74" t="e">
        <f>AND(#REF!,"AAAAADn92wM=")</f>
        <v>#REF!</v>
      </c>
      <c r="E74" t="e">
        <f>AND(#REF!,"AAAAADn92wQ=")</f>
        <v>#REF!</v>
      </c>
      <c r="F74" t="e">
        <f>AND(#REF!,"AAAAADn92wU=")</f>
        <v>#REF!</v>
      </c>
      <c r="G74" t="e">
        <f>AND(#REF!,"AAAAADn92wY=")</f>
        <v>#REF!</v>
      </c>
      <c r="H74" t="e">
        <f>AND(#REF!,"AAAAADn92wc=")</f>
        <v>#REF!</v>
      </c>
      <c r="I74" t="e">
        <f>IF(#REF!,"AAAAADn92wg=",0)</f>
        <v>#REF!</v>
      </c>
      <c r="J74" t="e">
        <f>AND(#REF!,"AAAAADn92wk=")</f>
        <v>#REF!</v>
      </c>
      <c r="K74" t="e">
        <f>AND(#REF!,"AAAAADn92wo=")</f>
        <v>#REF!</v>
      </c>
      <c r="L74" t="e">
        <f>AND(#REF!,"AAAAADn92ws=")</f>
        <v>#REF!</v>
      </c>
      <c r="M74" t="e">
        <f>AND(#REF!,"AAAAADn92ww=")</f>
        <v>#REF!</v>
      </c>
      <c r="N74" t="e">
        <f>AND(#REF!,"AAAAADn92w0=")</f>
        <v>#REF!</v>
      </c>
      <c r="O74" t="e">
        <f>AND(#REF!,"AAAAADn92w4=")</f>
        <v>#REF!</v>
      </c>
      <c r="P74" t="e">
        <f>AND(#REF!,"AAAAADn92w8=")</f>
        <v>#REF!</v>
      </c>
      <c r="Q74" t="e">
        <f>AND(#REF!,"AAAAADn92xA=")</f>
        <v>#REF!</v>
      </c>
      <c r="R74" t="e">
        <f>AND(#REF!,"AAAAADn92xE=")</f>
        <v>#REF!</v>
      </c>
      <c r="S74" t="e">
        <f>AND(#REF!,"AAAAADn92xI=")</f>
        <v>#REF!</v>
      </c>
      <c r="T74" t="e">
        <f>AND(#REF!,"AAAAADn92xM=")</f>
        <v>#REF!</v>
      </c>
      <c r="U74" t="e">
        <f>AND(#REF!,"AAAAADn92xQ=")</f>
        <v>#REF!</v>
      </c>
      <c r="V74" t="e">
        <f>AND(#REF!,"AAAAADn92xU=")</f>
        <v>#REF!</v>
      </c>
      <c r="W74" t="e">
        <f>AND(#REF!,"AAAAADn92xY=")</f>
        <v>#REF!</v>
      </c>
      <c r="X74" t="e">
        <f>IF(#REF!,"AAAAADn92xc=",0)</f>
        <v>#REF!</v>
      </c>
      <c r="Y74" t="e">
        <f>AND(#REF!,"AAAAADn92xg=")</f>
        <v>#REF!</v>
      </c>
      <c r="Z74" t="e">
        <f>AND(#REF!,"AAAAADn92xk=")</f>
        <v>#REF!</v>
      </c>
      <c r="AA74" t="e">
        <f>AND(#REF!,"AAAAADn92xo=")</f>
        <v>#REF!</v>
      </c>
      <c r="AB74" t="e">
        <f>AND(#REF!,"AAAAADn92xs=")</f>
        <v>#REF!</v>
      </c>
      <c r="AC74" t="e">
        <f>AND(#REF!,"AAAAADn92xw=")</f>
        <v>#REF!</v>
      </c>
      <c r="AD74" t="e">
        <f>AND(#REF!,"AAAAADn92x0=")</f>
        <v>#REF!</v>
      </c>
      <c r="AE74" t="e">
        <f>AND(#REF!,"AAAAADn92x4=")</f>
        <v>#REF!</v>
      </c>
      <c r="AF74" t="e">
        <f>AND(#REF!,"AAAAADn92x8=")</f>
        <v>#REF!</v>
      </c>
      <c r="AG74" t="e">
        <f>AND(#REF!,"AAAAADn92yA=")</f>
        <v>#REF!</v>
      </c>
      <c r="AH74" t="e">
        <f>AND(#REF!,"AAAAADn92yE=")</f>
        <v>#REF!</v>
      </c>
      <c r="AI74" t="e">
        <f>AND(#REF!,"AAAAADn92yI=")</f>
        <v>#REF!</v>
      </c>
      <c r="AJ74" t="e">
        <f>AND(#REF!,"AAAAADn92yM=")</f>
        <v>#REF!</v>
      </c>
      <c r="AK74" t="e">
        <f>AND(#REF!,"AAAAADn92yQ=")</f>
        <v>#REF!</v>
      </c>
      <c r="AL74" t="e">
        <f>AND(#REF!,"AAAAADn92yU=")</f>
        <v>#REF!</v>
      </c>
      <c r="AM74" t="e">
        <f>IF(#REF!,"AAAAADn92yY=",0)</f>
        <v>#REF!</v>
      </c>
      <c r="AN74" t="e">
        <f>AND(#REF!,"AAAAADn92yc=")</f>
        <v>#REF!</v>
      </c>
      <c r="AO74" t="e">
        <f>AND(#REF!,"AAAAADn92yg=")</f>
        <v>#REF!</v>
      </c>
      <c r="AP74" t="e">
        <f>AND(#REF!,"AAAAADn92yk=")</f>
        <v>#REF!</v>
      </c>
      <c r="AQ74" t="e">
        <f>AND(#REF!,"AAAAADn92yo=")</f>
        <v>#REF!</v>
      </c>
      <c r="AR74" t="e">
        <f>AND(#REF!,"AAAAADn92ys=")</f>
        <v>#REF!</v>
      </c>
      <c r="AS74" t="e">
        <f>AND(#REF!,"AAAAADn92yw=")</f>
        <v>#REF!</v>
      </c>
      <c r="AT74" t="e">
        <f>AND(#REF!,"AAAAADn92y0=")</f>
        <v>#REF!</v>
      </c>
      <c r="AU74" t="e">
        <f>AND(#REF!,"AAAAADn92y4=")</f>
        <v>#REF!</v>
      </c>
      <c r="AV74" t="e">
        <f>AND(#REF!,"AAAAADn92y8=")</f>
        <v>#REF!</v>
      </c>
      <c r="AW74" t="e">
        <f>AND(#REF!,"AAAAADn92zA=")</f>
        <v>#REF!</v>
      </c>
      <c r="AX74" t="e">
        <f>AND(#REF!,"AAAAADn92zE=")</f>
        <v>#REF!</v>
      </c>
      <c r="AY74" t="e">
        <f>AND(#REF!,"AAAAADn92zI=")</f>
        <v>#REF!</v>
      </c>
      <c r="AZ74" t="e">
        <f>AND(#REF!,"AAAAADn92zM=")</f>
        <v>#REF!</v>
      </c>
      <c r="BA74" t="e">
        <f>AND(#REF!,"AAAAADn92zQ=")</f>
        <v>#REF!</v>
      </c>
      <c r="BB74" t="e">
        <f>IF(#REF!,"AAAAADn92zU=",0)</f>
        <v>#REF!</v>
      </c>
      <c r="BC74" t="e">
        <f>AND(#REF!,"AAAAADn92zY=")</f>
        <v>#REF!</v>
      </c>
      <c r="BD74" t="e">
        <f>AND(#REF!,"AAAAADn92zc=")</f>
        <v>#REF!</v>
      </c>
      <c r="BE74" t="e">
        <f>AND(#REF!,"AAAAADn92zg=")</f>
        <v>#REF!</v>
      </c>
      <c r="BF74" t="e">
        <f>AND(#REF!,"AAAAADn92zk=")</f>
        <v>#REF!</v>
      </c>
      <c r="BG74" t="e">
        <f>AND(#REF!,"AAAAADn92zo=")</f>
        <v>#REF!</v>
      </c>
      <c r="BH74" t="e">
        <f>AND(#REF!,"AAAAADn92zs=")</f>
        <v>#REF!</v>
      </c>
      <c r="BI74" t="e">
        <f>AND(#REF!,"AAAAADn92zw=")</f>
        <v>#REF!</v>
      </c>
      <c r="BJ74" t="e">
        <f>AND(#REF!,"AAAAADn92z0=")</f>
        <v>#REF!</v>
      </c>
      <c r="BK74" t="e">
        <f>AND(#REF!,"AAAAADn92z4=")</f>
        <v>#REF!</v>
      </c>
      <c r="BL74" t="e">
        <f>AND(#REF!,"AAAAADn92z8=")</f>
        <v>#REF!</v>
      </c>
      <c r="BM74" t="e">
        <f>AND(#REF!,"AAAAADn920A=")</f>
        <v>#REF!</v>
      </c>
      <c r="BN74" t="e">
        <f>AND(#REF!,"AAAAADn920E=")</f>
        <v>#REF!</v>
      </c>
      <c r="BO74" t="e">
        <f>AND(#REF!,"AAAAADn920I=")</f>
        <v>#REF!</v>
      </c>
      <c r="BP74" t="e">
        <f>AND(#REF!,"AAAAADn920M=")</f>
        <v>#REF!</v>
      </c>
      <c r="BQ74" t="e">
        <f>IF(#REF!,"AAAAADn920Q=",0)</f>
        <v>#REF!</v>
      </c>
      <c r="BR74" t="e">
        <f>AND(#REF!,"AAAAADn920U=")</f>
        <v>#REF!</v>
      </c>
      <c r="BS74" t="e">
        <f>AND(#REF!,"AAAAADn920Y=")</f>
        <v>#REF!</v>
      </c>
      <c r="BT74" t="e">
        <f>AND(#REF!,"AAAAADn920c=")</f>
        <v>#REF!</v>
      </c>
      <c r="BU74" t="e">
        <f>AND(#REF!,"AAAAADn920g=")</f>
        <v>#REF!</v>
      </c>
      <c r="BV74" t="e">
        <f>AND(#REF!,"AAAAADn920k=")</f>
        <v>#REF!</v>
      </c>
      <c r="BW74" t="e">
        <f>AND(#REF!,"AAAAADn920o=")</f>
        <v>#REF!</v>
      </c>
      <c r="BX74" t="e">
        <f>AND(#REF!,"AAAAADn920s=")</f>
        <v>#REF!</v>
      </c>
      <c r="BY74" t="e">
        <f>AND(#REF!,"AAAAADn920w=")</f>
        <v>#REF!</v>
      </c>
      <c r="BZ74" t="e">
        <f>AND(#REF!,"AAAAADn9200=")</f>
        <v>#REF!</v>
      </c>
      <c r="CA74" t="e">
        <f>AND(#REF!,"AAAAADn9204=")</f>
        <v>#REF!</v>
      </c>
      <c r="CB74" t="e">
        <f>AND(#REF!,"AAAAADn9208=")</f>
        <v>#REF!</v>
      </c>
      <c r="CC74" t="e">
        <f>AND(#REF!,"AAAAADn921A=")</f>
        <v>#REF!</v>
      </c>
      <c r="CD74" t="e">
        <f>AND(#REF!,"AAAAADn921E=")</f>
        <v>#REF!</v>
      </c>
      <c r="CE74" t="e">
        <f>AND(#REF!,"AAAAADn921I=")</f>
        <v>#REF!</v>
      </c>
      <c r="CF74" t="e">
        <f>IF(#REF!,"AAAAADn921M=",0)</f>
        <v>#REF!</v>
      </c>
      <c r="CG74" t="e">
        <f>AND(#REF!,"AAAAADn921Q=")</f>
        <v>#REF!</v>
      </c>
      <c r="CH74" t="e">
        <f>AND(#REF!,"AAAAADn921U=")</f>
        <v>#REF!</v>
      </c>
      <c r="CI74" t="e">
        <f>AND(#REF!,"AAAAADn921Y=")</f>
        <v>#REF!</v>
      </c>
      <c r="CJ74" t="e">
        <f>AND(#REF!,"AAAAADn921c=")</f>
        <v>#REF!</v>
      </c>
      <c r="CK74" t="e">
        <f>AND(#REF!,"AAAAADn921g=")</f>
        <v>#REF!</v>
      </c>
      <c r="CL74" t="e">
        <f>AND(#REF!,"AAAAADn921k=")</f>
        <v>#REF!</v>
      </c>
      <c r="CM74" t="e">
        <f>AND(#REF!,"AAAAADn921o=")</f>
        <v>#REF!</v>
      </c>
      <c r="CN74" t="e">
        <f>AND(#REF!,"AAAAADn921s=")</f>
        <v>#REF!</v>
      </c>
      <c r="CO74" t="e">
        <f>AND(#REF!,"AAAAADn921w=")</f>
        <v>#REF!</v>
      </c>
      <c r="CP74" t="e">
        <f>AND(#REF!,"AAAAADn9210=")</f>
        <v>#REF!</v>
      </c>
      <c r="CQ74" t="e">
        <f>AND(#REF!,"AAAAADn9214=")</f>
        <v>#REF!</v>
      </c>
      <c r="CR74" t="e">
        <f>AND(#REF!,"AAAAADn9218=")</f>
        <v>#REF!</v>
      </c>
      <c r="CS74" t="e">
        <f>AND(#REF!,"AAAAADn922A=")</f>
        <v>#REF!</v>
      </c>
      <c r="CT74" t="e">
        <f>AND(#REF!,"AAAAADn922E=")</f>
        <v>#REF!</v>
      </c>
      <c r="CU74" t="e">
        <f>IF(#REF!,"AAAAADn922I=",0)</f>
        <v>#REF!</v>
      </c>
      <c r="CV74" t="e">
        <f>AND(#REF!,"AAAAADn922M=")</f>
        <v>#REF!</v>
      </c>
      <c r="CW74" t="e">
        <f>AND(#REF!,"AAAAADn922Q=")</f>
        <v>#REF!</v>
      </c>
      <c r="CX74" t="e">
        <f>AND(#REF!,"AAAAADn922U=")</f>
        <v>#REF!</v>
      </c>
      <c r="CY74" t="e">
        <f>AND(#REF!,"AAAAADn922Y=")</f>
        <v>#REF!</v>
      </c>
      <c r="CZ74" t="e">
        <f>AND(#REF!,"AAAAADn922c=")</f>
        <v>#REF!</v>
      </c>
      <c r="DA74" t="e">
        <f>AND(#REF!,"AAAAADn922g=")</f>
        <v>#REF!</v>
      </c>
      <c r="DB74" t="e">
        <f>AND(#REF!,"AAAAADn922k=")</f>
        <v>#REF!</v>
      </c>
      <c r="DC74" t="e">
        <f>AND(#REF!,"AAAAADn922o=")</f>
        <v>#REF!</v>
      </c>
      <c r="DD74" t="e">
        <f>AND(#REF!,"AAAAADn922s=")</f>
        <v>#REF!</v>
      </c>
      <c r="DE74" t="e">
        <f>AND(#REF!,"AAAAADn922w=")</f>
        <v>#REF!</v>
      </c>
      <c r="DF74" t="e">
        <f>AND(#REF!,"AAAAADn9220=")</f>
        <v>#REF!</v>
      </c>
      <c r="DG74" t="e">
        <f>AND(#REF!,"AAAAADn9224=")</f>
        <v>#REF!</v>
      </c>
      <c r="DH74" t="e">
        <f>AND(#REF!,"AAAAADn9228=")</f>
        <v>#REF!</v>
      </c>
      <c r="DI74" t="e">
        <f>AND(#REF!,"AAAAADn923A=")</f>
        <v>#REF!</v>
      </c>
      <c r="DJ74" t="e">
        <f>IF(#REF!,"AAAAADn923E=",0)</f>
        <v>#REF!</v>
      </c>
      <c r="DK74" t="e">
        <f>AND(#REF!,"AAAAADn923I=")</f>
        <v>#REF!</v>
      </c>
      <c r="DL74" t="e">
        <f>AND(#REF!,"AAAAADn923M=")</f>
        <v>#REF!</v>
      </c>
      <c r="DM74" t="e">
        <f>AND(#REF!,"AAAAADn923Q=")</f>
        <v>#REF!</v>
      </c>
      <c r="DN74" t="e">
        <f>AND(#REF!,"AAAAADn923U=")</f>
        <v>#REF!</v>
      </c>
      <c r="DO74" t="e">
        <f>AND(#REF!,"AAAAADn923Y=")</f>
        <v>#REF!</v>
      </c>
      <c r="DP74" t="e">
        <f>AND(#REF!,"AAAAADn923c=")</f>
        <v>#REF!</v>
      </c>
      <c r="DQ74" t="e">
        <f>AND(#REF!,"AAAAADn923g=")</f>
        <v>#REF!</v>
      </c>
      <c r="DR74" t="e">
        <f>AND(#REF!,"AAAAADn923k=")</f>
        <v>#REF!</v>
      </c>
      <c r="DS74" t="e">
        <f>AND(#REF!,"AAAAADn923o=")</f>
        <v>#REF!</v>
      </c>
      <c r="DT74" t="e">
        <f>AND(#REF!,"AAAAADn923s=")</f>
        <v>#REF!</v>
      </c>
      <c r="DU74" t="e">
        <f>AND(#REF!,"AAAAADn923w=")</f>
        <v>#REF!</v>
      </c>
      <c r="DV74" t="e">
        <f>AND(#REF!,"AAAAADn9230=")</f>
        <v>#REF!</v>
      </c>
      <c r="DW74" t="e">
        <f>AND(#REF!,"AAAAADn9234=")</f>
        <v>#REF!</v>
      </c>
      <c r="DX74" t="e">
        <f>AND(#REF!,"AAAAADn9238=")</f>
        <v>#REF!</v>
      </c>
      <c r="DY74" t="e">
        <f>IF(#REF!,"AAAAADn924A=",0)</f>
        <v>#REF!</v>
      </c>
      <c r="DZ74" t="e">
        <f>AND(#REF!,"AAAAADn924E=")</f>
        <v>#REF!</v>
      </c>
      <c r="EA74" t="e">
        <f>AND(#REF!,"AAAAADn924I=")</f>
        <v>#REF!</v>
      </c>
      <c r="EB74" t="e">
        <f>AND(#REF!,"AAAAADn924M=")</f>
        <v>#REF!</v>
      </c>
      <c r="EC74" t="e">
        <f>AND(#REF!,"AAAAADn924Q=")</f>
        <v>#REF!</v>
      </c>
      <c r="ED74" t="e">
        <f>AND(#REF!,"AAAAADn924U=")</f>
        <v>#REF!</v>
      </c>
      <c r="EE74" t="e">
        <f>AND(#REF!,"AAAAADn924Y=")</f>
        <v>#REF!</v>
      </c>
      <c r="EF74" t="e">
        <f>AND(#REF!,"AAAAADn924c=")</f>
        <v>#REF!</v>
      </c>
      <c r="EG74" t="e">
        <f>AND(#REF!,"AAAAADn924g=")</f>
        <v>#REF!</v>
      </c>
      <c r="EH74" t="e">
        <f>AND(#REF!,"AAAAADn924k=")</f>
        <v>#REF!</v>
      </c>
      <c r="EI74" t="e">
        <f>AND(#REF!,"AAAAADn924o=")</f>
        <v>#REF!</v>
      </c>
      <c r="EJ74" t="e">
        <f>AND(#REF!,"AAAAADn924s=")</f>
        <v>#REF!</v>
      </c>
      <c r="EK74" t="e">
        <f>AND(#REF!,"AAAAADn924w=")</f>
        <v>#REF!</v>
      </c>
      <c r="EL74" t="e">
        <f>AND(#REF!,"AAAAADn9240=")</f>
        <v>#REF!</v>
      </c>
      <c r="EM74" t="e">
        <f>AND(#REF!,"AAAAADn9244=")</f>
        <v>#REF!</v>
      </c>
      <c r="EN74" t="e">
        <f>IF(#REF!,"AAAAADn9248=",0)</f>
        <v>#REF!</v>
      </c>
      <c r="EO74" t="e">
        <f>AND(#REF!,"AAAAADn925A=")</f>
        <v>#REF!</v>
      </c>
      <c r="EP74" t="e">
        <f>AND(#REF!,"AAAAADn925E=")</f>
        <v>#REF!</v>
      </c>
      <c r="EQ74" t="e">
        <f>AND(#REF!,"AAAAADn925I=")</f>
        <v>#REF!</v>
      </c>
      <c r="ER74" t="e">
        <f>AND(#REF!,"AAAAADn925M=")</f>
        <v>#REF!</v>
      </c>
      <c r="ES74" t="e">
        <f>AND(#REF!,"AAAAADn925Q=")</f>
        <v>#REF!</v>
      </c>
      <c r="ET74" t="e">
        <f>AND(#REF!,"AAAAADn925U=")</f>
        <v>#REF!</v>
      </c>
      <c r="EU74" t="e">
        <f>AND(#REF!,"AAAAADn925Y=")</f>
        <v>#REF!</v>
      </c>
      <c r="EV74" t="e">
        <f>AND(#REF!,"AAAAADn925c=")</f>
        <v>#REF!</v>
      </c>
      <c r="EW74" t="e">
        <f>AND(#REF!,"AAAAADn925g=")</f>
        <v>#REF!</v>
      </c>
      <c r="EX74" t="e">
        <f>AND(#REF!,"AAAAADn925k=")</f>
        <v>#REF!</v>
      </c>
      <c r="EY74" t="e">
        <f>AND(#REF!,"AAAAADn925o=")</f>
        <v>#REF!</v>
      </c>
      <c r="EZ74" t="e">
        <f>AND(#REF!,"AAAAADn925s=")</f>
        <v>#REF!</v>
      </c>
      <c r="FA74" t="e">
        <f>AND(#REF!,"AAAAADn925w=")</f>
        <v>#REF!</v>
      </c>
      <c r="FB74" t="e">
        <f>AND(#REF!,"AAAAADn9250=")</f>
        <v>#REF!</v>
      </c>
      <c r="FC74" t="e">
        <f>IF(#REF!,"AAAAADn9254=",0)</f>
        <v>#REF!</v>
      </c>
      <c r="FD74" t="e">
        <f>AND(#REF!,"AAAAADn9258=")</f>
        <v>#REF!</v>
      </c>
      <c r="FE74" t="e">
        <f>AND(#REF!,"AAAAADn926A=")</f>
        <v>#REF!</v>
      </c>
      <c r="FF74" t="e">
        <f>AND(#REF!,"AAAAADn926E=")</f>
        <v>#REF!</v>
      </c>
      <c r="FG74" t="e">
        <f>AND(#REF!,"AAAAADn926I=")</f>
        <v>#REF!</v>
      </c>
      <c r="FH74" t="e">
        <f>AND(#REF!,"AAAAADn926M=")</f>
        <v>#REF!</v>
      </c>
      <c r="FI74" t="e">
        <f>AND(#REF!,"AAAAADn926Q=")</f>
        <v>#REF!</v>
      </c>
      <c r="FJ74" t="e">
        <f>AND(#REF!,"AAAAADn926U=")</f>
        <v>#REF!</v>
      </c>
      <c r="FK74" t="e">
        <f>AND(#REF!,"AAAAADn926Y=")</f>
        <v>#REF!</v>
      </c>
      <c r="FL74" t="e">
        <f>AND(#REF!,"AAAAADn926c=")</f>
        <v>#REF!</v>
      </c>
      <c r="FM74" t="e">
        <f>AND(#REF!,"AAAAADn926g=")</f>
        <v>#REF!</v>
      </c>
      <c r="FN74" t="e">
        <f>AND(#REF!,"AAAAADn926k=")</f>
        <v>#REF!</v>
      </c>
      <c r="FO74" t="e">
        <f>AND(#REF!,"AAAAADn926o=")</f>
        <v>#REF!</v>
      </c>
      <c r="FP74" t="e">
        <f>AND(#REF!,"AAAAADn926s=")</f>
        <v>#REF!</v>
      </c>
      <c r="FQ74" t="e">
        <f>AND(#REF!,"AAAAADn926w=")</f>
        <v>#REF!</v>
      </c>
      <c r="FR74" t="e">
        <f>IF(#REF!,"AAAAADn9260=",0)</f>
        <v>#REF!</v>
      </c>
      <c r="FS74" t="e">
        <f>AND(#REF!,"AAAAADn9264=")</f>
        <v>#REF!</v>
      </c>
      <c r="FT74" t="e">
        <f>AND(#REF!,"AAAAADn9268=")</f>
        <v>#REF!</v>
      </c>
      <c r="FU74" t="e">
        <f>AND(#REF!,"AAAAADn927A=")</f>
        <v>#REF!</v>
      </c>
      <c r="FV74" t="e">
        <f>AND(#REF!,"AAAAADn927E=")</f>
        <v>#REF!</v>
      </c>
      <c r="FW74" t="e">
        <f>AND(#REF!,"AAAAADn927I=")</f>
        <v>#REF!</v>
      </c>
      <c r="FX74" t="e">
        <f>AND(#REF!,"AAAAADn927M=")</f>
        <v>#REF!</v>
      </c>
      <c r="FY74" t="e">
        <f>AND(#REF!,"AAAAADn927Q=")</f>
        <v>#REF!</v>
      </c>
      <c r="FZ74" t="e">
        <f>AND(#REF!,"AAAAADn927U=")</f>
        <v>#REF!</v>
      </c>
      <c r="GA74" t="e">
        <f>AND(#REF!,"AAAAADn927Y=")</f>
        <v>#REF!</v>
      </c>
      <c r="GB74" t="e">
        <f>AND(#REF!,"AAAAADn927c=")</f>
        <v>#REF!</v>
      </c>
      <c r="GC74" t="e">
        <f>AND(#REF!,"AAAAADn927g=")</f>
        <v>#REF!</v>
      </c>
      <c r="GD74" t="e">
        <f>AND(#REF!,"AAAAADn927k=")</f>
        <v>#REF!</v>
      </c>
      <c r="GE74" t="e">
        <f>AND(#REF!,"AAAAADn927o=")</f>
        <v>#REF!</v>
      </c>
      <c r="GF74" t="e">
        <f>AND(#REF!,"AAAAADn927s=")</f>
        <v>#REF!</v>
      </c>
      <c r="GG74" t="e">
        <f>IF(#REF!,"AAAAADn927w=",0)</f>
        <v>#REF!</v>
      </c>
      <c r="GH74" t="e">
        <f>AND(#REF!,"AAAAADn9270=")</f>
        <v>#REF!</v>
      </c>
      <c r="GI74" t="e">
        <f>AND(#REF!,"AAAAADn9274=")</f>
        <v>#REF!</v>
      </c>
      <c r="GJ74" t="e">
        <f>AND(#REF!,"AAAAADn9278=")</f>
        <v>#REF!</v>
      </c>
      <c r="GK74" t="e">
        <f>AND(#REF!,"AAAAADn928A=")</f>
        <v>#REF!</v>
      </c>
      <c r="GL74" t="e">
        <f>AND(#REF!,"AAAAADn928E=")</f>
        <v>#REF!</v>
      </c>
      <c r="GM74" t="e">
        <f>AND(#REF!,"AAAAADn928I=")</f>
        <v>#REF!</v>
      </c>
      <c r="GN74" t="e">
        <f>AND(#REF!,"AAAAADn928M=")</f>
        <v>#REF!</v>
      </c>
      <c r="GO74" t="e">
        <f>AND(#REF!,"AAAAADn928Q=")</f>
        <v>#REF!</v>
      </c>
      <c r="GP74" t="e">
        <f>AND(#REF!,"AAAAADn928U=")</f>
        <v>#REF!</v>
      </c>
      <c r="GQ74" t="e">
        <f>AND(#REF!,"AAAAADn928Y=")</f>
        <v>#REF!</v>
      </c>
      <c r="GR74" t="e">
        <f>AND(#REF!,"AAAAADn928c=")</f>
        <v>#REF!</v>
      </c>
      <c r="GS74" t="e">
        <f>AND(#REF!,"AAAAADn928g=")</f>
        <v>#REF!</v>
      </c>
      <c r="GT74" t="e">
        <f>AND(#REF!,"AAAAADn928k=")</f>
        <v>#REF!</v>
      </c>
      <c r="GU74" t="e">
        <f>AND(#REF!,"AAAAADn928o=")</f>
        <v>#REF!</v>
      </c>
      <c r="GV74" t="e">
        <f>IF(#REF!,"AAAAADn928s=",0)</f>
        <v>#REF!</v>
      </c>
      <c r="GW74" t="e">
        <f>AND(#REF!,"AAAAADn928w=")</f>
        <v>#REF!</v>
      </c>
      <c r="GX74" t="e">
        <f>AND(#REF!,"AAAAADn9280=")</f>
        <v>#REF!</v>
      </c>
      <c r="GY74" t="e">
        <f>AND(#REF!,"AAAAADn9284=")</f>
        <v>#REF!</v>
      </c>
      <c r="GZ74" t="e">
        <f>AND(#REF!,"AAAAADn9288=")</f>
        <v>#REF!</v>
      </c>
      <c r="HA74" t="e">
        <f>AND(#REF!,"AAAAADn929A=")</f>
        <v>#REF!</v>
      </c>
      <c r="HB74" t="e">
        <f>AND(#REF!,"AAAAADn929E=")</f>
        <v>#REF!</v>
      </c>
      <c r="HC74" t="e">
        <f>AND(#REF!,"AAAAADn929I=")</f>
        <v>#REF!</v>
      </c>
      <c r="HD74" t="e">
        <f>AND(#REF!,"AAAAADn929M=")</f>
        <v>#REF!</v>
      </c>
      <c r="HE74" t="e">
        <f>AND(#REF!,"AAAAADn929Q=")</f>
        <v>#REF!</v>
      </c>
      <c r="HF74" t="e">
        <f>AND(#REF!,"AAAAADn929U=")</f>
        <v>#REF!</v>
      </c>
      <c r="HG74" t="e">
        <f>AND(#REF!,"AAAAADn929Y=")</f>
        <v>#REF!</v>
      </c>
      <c r="HH74" t="e">
        <f>AND(#REF!,"AAAAADn929c=")</f>
        <v>#REF!</v>
      </c>
      <c r="HI74" t="e">
        <f>AND(#REF!,"AAAAADn929g=")</f>
        <v>#REF!</v>
      </c>
      <c r="HJ74" t="e">
        <f>AND(#REF!,"AAAAADn929k=")</f>
        <v>#REF!</v>
      </c>
      <c r="HK74" t="e">
        <f>IF(#REF!,"AAAAADn929o=",0)</f>
        <v>#REF!</v>
      </c>
      <c r="HL74" t="e">
        <f>AND(#REF!,"AAAAADn929s=")</f>
        <v>#REF!</v>
      </c>
      <c r="HM74" t="e">
        <f>AND(#REF!,"AAAAADn929w=")</f>
        <v>#REF!</v>
      </c>
      <c r="HN74" t="e">
        <f>AND(#REF!,"AAAAADn9290=")</f>
        <v>#REF!</v>
      </c>
      <c r="HO74" t="e">
        <f>AND(#REF!,"AAAAADn9294=")</f>
        <v>#REF!</v>
      </c>
      <c r="HP74" t="e">
        <f>AND(#REF!,"AAAAADn9298=")</f>
        <v>#REF!</v>
      </c>
      <c r="HQ74" t="e">
        <f>AND(#REF!,"AAAAADn92+A=")</f>
        <v>#REF!</v>
      </c>
      <c r="HR74" t="e">
        <f>AND(#REF!,"AAAAADn92+E=")</f>
        <v>#REF!</v>
      </c>
      <c r="HS74" t="e">
        <f>AND(#REF!,"AAAAADn92+I=")</f>
        <v>#REF!</v>
      </c>
      <c r="HT74" t="e">
        <f>AND(#REF!,"AAAAADn92+M=")</f>
        <v>#REF!</v>
      </c>
      <c r="HU74" t="e">
        <f>AND(#REF!,"AAAAADn92+Q=")</f>
        <v>#REF!</v>
      </c>
      <c r="HV74" t="e">
        <f>AND(#REF!,"AAAAADn92+U=")</f>
        <v>#REF!</v>
      </c>
      <c r="HW74" t="e">
        <f>AND(#REF!,"AAAAADn92+Y=")</f>
        <v>#REF!</v>
      </c>
      <c r="HX74" t="e">
        <f>AND(#REF!,"AAAAADn92+c=")</f>
        <v>#REF!</v>
      </c>
      <c r="HY74" t="e">
        <f>AND(#REF!,"AAAAADn92+g=")</f>
        <v>#REF!</v>
      </c>
      <c r="HZ74" t="e">
        <f>IF(#REF!,"AAAAADn92+k=",0)</f>
        <v>#REF!</v>
      </c>
      <c r="IA74" t="e">
        <f>AND(#REF!,"AAAAADn92+o=")</f>
        <v>#REF!</v>
      </c>
      <c r="IB74" t="e">
        <f>AND(#REF!,"AAAAADn92+s=")</f>
        <v>#REF!</v>
      </c>
      <c r="IC74" t="e">
        <f>AND(#REF!,"AAAAADn92+w=")</f>
        <v>#REF!</v>
      </c>
      <c r="ID74" t="e">
        <f>AND(#REF!,"AAAAADn92+0=")</f>
        <v>#REF!</v>
      </c>
      <c r="IE74" t="e">
        <f>AND(#REF!,"AAAAADn92+4=")</f>
        <v>#REF!</v>
      </c>
      <c r="IF74" t="e">
        <f>AND(#REF!,"AAAAADn92+8=")</f>
        <v>#REF!</v>
      </c>
      <c r="IG74" t="e">
        <f>AND(#REF!,"AAAAADn92/A=")</f>
        <v>#REF!</v>
      </c>
      <c r="IH74" t="e">
        <f>AND(#REF!,"AAAAADn92/E=")</f>
        <v>#REF!</v>
      </c>
      <c r="II74" t="e">
        <f>AND(#REF!,"AAAAADn92/I=")</f>
        <v>#REF!</v>
      </c>
      <c r="IJ74" t="e">
        <f>AND(#REF!,"AAAAADn92/M=")</f>
        <v>#REF!</v>
      </c>
      <c r="IK74" t="e">
        <f>AND(#REF!,"AAAAADn92/Q=")</f>
        <v>#REF!</v>
      </c>
      <c r="IL74" t="e">
        <f>AND(#REF!,"AAAAADn92/U=")</f>
        <v>#REF!</v>
      </c>
      <c r="IM74" t="e">
        <f>AND(#REF!,"AAAAADn92/Y=")</f>
        <v>#REF!</v>
      </c>
      <c r="IN74" t="e">
        <f>AND(#REF!,"AAAAADn92/c=")</f>
        <v>#REF!</v>
      </c>
      <c r="IO74" t="e">
        <f>IF(#REF!,"AAAAADn92/g=",0)</f>
        <v>#REF!</v>
      </c>
      <c r="IP74" t="e">
        <f>AND(#REF!,"AAAAADn92/k=")</f>
        <v>#REF!</v>
      </c>
      <c r="IQ74" t="e">
        <f>AND(#REF!,"AAAAADn92/o=")</f>
        <v>#REF!</v>
      </c>
      <c r="IR74" t="e">
        <f>AND(#REF!,"AAAAADn92/s=")</f>
        <v>#REF!</v>
      </c>
      <c r="IS74" t="e">
        <f>AND(#REF!,"AAAAADn92/w=")</f>
        <v>#REF!</v>
      </c>
      <c r="IT74" t="e">
        <f>AND(#REF!,"AAAAADn92/0=")</f>
        <v>#REF!</v>
      </c>
      <c r="IU74" t="e">
        <f>AND(#REF!,"AAAAADn92/4=")</f>
        <v>#REF!</v>
      </c>
      <c r="IV74" t="e">
        <f>AND(#REF!,"AAAAADn92/8=")</f>
        <v>#REF!</v>
      </c>
    </row>
    <row r="75" spans="1:256" x14ac:dyDescent="0.15">
      <c r="A75" t="e">
        <f>AND(#REF!,"AAAAAHv2mwA=")</f>
        <v>#REF!</v>
      </c>
      <c r="B75" t="e">
        <f>AND(#REF!,"AAAAAHv2mwE=")</f>
        <v>#REF!</v>
      </c>
      <c r="C75" t="e">
        <f>AND(#REF!,"AAAAAHv2mwI=")</f>
        <v>#REF!</v>
      </c>
      <c r="D75" t="e">
        <f>AND(#REF!,"AAAAAHv2mwM=")</f>
        <v>#REF!</v>
      </c>
      <c r="E75" t="e">
        <f>AND(#REF!,"AAAAAHv2mwQ=")</f>
        <v>#REF!</v>
      </c>
      <c r="F75" t="e">
        <f>AND(#REF!,"AAAAAHv2mwU=")</f>
        <v>#REF!</v>
      </c>
      <c r="G75" t="e">
        <f>AND(#REF!,"AAAAAHv2mwY=")</f>
        <v>#REF!</v>
      </c>
      <c r="H75" t="e">
        <f>IF(#REF!,"AAAAAHv2mwc=",0)</f>
        <v>#REF!</v>
      </c>
      <c r="I75" t="e">
        <f>AND(#REF!,"AAAAAHv2mwg=")</f>
        <v>#REF!</v>
      </c>
      <c r="J75" t="e">
        <f>AND(#REF!,"AAAAAHv2mwk=")</f>
        <v>#REF!</v>
      </c>
      <c r="K75" t="e">
        <f>AND(#REF!,"AAAAAHv2mwo=")</f>
        <v>#REF!</v>
      </c>
      <c r="L75" t="e">
        <f>AND(#REF!,"AAAAAHv2mws=")</f>
        <v>#REF!</v>
      </c>
      <c r="M75" t="e">
        <f>AND(#REF!,"AAAAAHv2mww=")</f>
        <v>#REF!</v>
      </c>
      <c r="N75" t="e">
        <f>AND(#REF!,"AAAAAHv2mw0=")</f>
        <v>#REF!</v>
      </c>
      <c r="O75" t="e">
        <f>AND(#REF!,"AAAAAHv2mw4=")</f>
        <v>#REF!</v>
      </c>
      <c r="P75" t="e">
        <f>AND(#REF!,"AAAAAHv2mw8=")</f>
        <v>#REF!</v>
      </c>
      <c r="Q75" t="e">
        <f>AND(#REF!,"AAAAAHv2mxA=")</f>
        <v>#REF!</v>
      </c>
      <c r="R75" t="e">
        <f>AND(#REF!,"AAAAAHv2mxE=")</f>
        <v>#REF!</v>
      </c>
      <c r="S75" t="e">
        <f>AND(#REF!,"AAAAAHv2mxI=")</f>
        <v>#REF!</v>
      </c>
      <c r="T75" t="e">
        <f>AND(#REF!,"AAAAAHv2mxM=")</f>
        <v>#REF!</v>
      </c>
      <c r="U75" t="e">
        <f>AND(#REF!,"AAAAAHv2mxQ=")</f>
        <v>#REF!</v>
      </c>
      <c r="V75" t="e">
        <f>AND(#REF!,"AAAAAHv2mxU=")</f>
        <v>#REF!</v>
      </c>
      <c r="W75" t="e">
        <f>IF(#REF!,"AAAAAHv2mxY=",0)</f>
        <v>#REF!</v>
      </c>
      <c r="X75" t="e">
        <f>AND(#REF!,"AAAAAHv2mxc=")</f>
        <v>#REF!</v>
      </c>
      <c r="Y75" t="e">
        <f>AND(#REF!,"AAAAAHv2mxg=")</f>
        <v>#REF!</v>
      </c>
      <c r="Z75" t="e">
        <f>AND(#REF!,"AAAAAHv2mxk=")</f>
        <v>#REF!</v>
      </c>
      <c r="AA75" t="e">
        <f>AND(#REF!,"AAAAAHv2mxo=")</f>
        <v>#REF!</v>
      </c>
      <c r="AB75" t="e">
        <f>AND(#REF!,"AAAAAHv2mxs=")</f>
        <v>#REF!</v>
      </c>
      <c r="AC75" t="e">
        <f>AND(#REF!,"AAAAAHv2mxw=")</f>
        <v>#REF!</v>
      </c>
      <c r="AD75" t="e">
        <f>AND(#REF!,"AAAAAHv2mx0=")</f>
        <v>#REF!</v>
      </c>
      <c r="AE75" t="e">
        <f>AND(#REF!,"AAAAAHv2mx4=")</f>
        <v>#REF!</v>
      </c>
      <c r="AF75" t="e">
        <f>AND(#REF!,"AAAAAHv2mx8=")</f>
        <v>#REF!</v>
      </c>
      <c r="AG75" t="e">
        <f>AND(#REF!,"AAAAAHv2myA=")</f>
        <v>#REF!</v>
      </c>
      <c r="AH75" t="e">
        <f>AND(#REF!,"AAAAAHv2myE=")</f>
        <v>#REF!</v>
      </c>
      <c r="AI75" t="e">
        <f>AND(#REF!,"AAAAAHv2myI=")</f>
        <v>#REF!</v>
      </c>
      <c r="AJ75" t="e">
        <f>AND(#REF!,"AAAAAHv2myM=")</f>
        <v>#REF!</v>
      </c>
      <c r="AK75" t="e">
        <f>AND(#REF!,"AAAAAHv2myQ=")</f>
        <v>#REF!</v>
      </c>
      <c r="AL75" t="e">
        <f>IF(#REF!,"AAAAAHv2myU=",0)</f>
        <v>#REF!</v>
      </c>
      <c r="AM75" t="e">
        <f>AND(#REF!,"AAAAAHv2myY=")</f>
        <v>#REF!</v>
      </c>
      <c r="AN75" t="e">
        <f>AND(#REF!,"AAAAAHv2myc=")</f>
        <v>#REF!</v>
      </c>
      <c r="AO75" t="e">
        <f>AND(#REF!,"AAAAAHv2myg=")</f>
        <v>#REF!</v>
      </c>
      <c r="AP75" t="e">
        <f>AND(#REF!,"AAAAAHv2myk=")</f>
        <v>#REF!</v>
      </c>
      <c r="AQ75" t="e">
        <f>AND(#REF!,"AAAAAHv2myo=")</f>
        <v>#REF!</v>
      </c>
      <c r="AR75" t="e">
        <f>AND(#REF!,"AAAAAHv2mys=")</f>
        <v>#REF!</v>
      </c>
      <c r="AS75" t="e">
        <f>AND(#REF!,"AAAAAHv2myw=")</f>
        <v>#REF!</v>
      </c>
      <c r="AT75" t="e">
        <f>AND(#REF!,"AAAAAHv2my0=")</f>
        <v>#REF!</v>
      </c>
      <c r="AU75" t="e">
        <f>AND(#REF!,"AAAAAHv2my4=")</f>
        <v>#REF!</v>
      </c>
      <c r="AV75" t="e">
        <f>AND(#REF!,"AAAAAHv2my8=")</f>
        <v>#REF!</v>
      </c>
      <c r="AW75" t="e">
        <f>AND(#REF!,"AAAAAHv2mzA=")</f>
        <v>#REF!</v>
      </c>
      <c r="AX75" t="e">
        <f>AND(#REF!,"AAAAAHv2mzE=")</f>
        <v>#REF!</v>
      </c>
      <c r="AY75" t="e">
        <f>AND(#REF!,"AAAAAHv2mzI=")</f>
        <v>#REF!</v>
      </c>
      <c r="AZ75" t="e">
        <f>AND(#REF!,"AAAAAHv2mzM=")</f>
        <v>#REF!</v>
      </c>
      <c r="BA75" t="e">
        <f>IF(#REF!,"AAAAAHv2mzQ=",0)</f>
        <v>#REF!</v>
      </c>
      <c r="BB75" t="e">
        <f>AND(#REF!,"AAAAAHv2mzU=")</f>
        <v>#REF!</v>
      </c>
      <c r="BC75" t="e">
        <f>AND(#REF!,"AAAAAHv2mzY=")</f>
        <v>#REF!</v>
      </c>
      <c r="BD75" t="e">
        <f>AND(#REF!,"AAAAAHv2mzc=")</f>
        <v>#REF!</v>
      </c>
      <c r="BE75" t="e">
        <f>AND(#REF!,"AAAAAHv2mzg=")</f>
        <v>#REF!</v>
      </c>
      <c r="BF75" t="e">
        <f>AND(#REF!,"AAAAAHv2mzk=")</f>
        <v>#REF!</v>
      </c>
      <c r="BG75" t="e">
        <f>AND(#REF!,"AAAAAHv2mzo=")</f>
        <v>#REF!</v>
      </c>
      <c r="BH75" t="e">
        <f>AND(#REF!,"AAAAAHv2mzs=")</f>
        <v>#REF!</v>
      </c>
      <c r="BI75" t="e">
        <f>AND(#REF!,"AAAAAHv2mzw=")</f>
        <v>#REF!</v>
      </c>
      <c r="BJ75" t="e">
        <f>AND(#REF!,"AAAAAHv2mz0=")</f>
        <v>#REF!</v>
      </c>
      <c r="BK75" t="e">
        <f>AND(#REF!,"AAAAAHv2mz4=")</f>
        <v>#REF!</v>
      </c>
      <c r="BL75" t="e">
        <f>AND(#REF!,"AAAAAHv2mz8=")</f>
        <v>#REF!</v>
      </c>
      <c r="BM75" t="e">
        <f>AND(#REF!,"AAAAAHv2m0A=")</f>
        <v>#REF!</v>
      </c>
      <c r="BN75" t="e">
        <f>AND(#REF!,"AAAAAHv2m0E=")</f>
        <v>#REF!</v>
      </c>
      <c r="BO75" t="e">
        <f>AND(#REF!,"AAAAAHv2m0I=")</f>
        <v>#REF!</v>
      </c>
      <c r="BP75" t="e">
        <f>IF(#REF!,"AAAAAHv2m0M=",0)</f>
        <v>#REF!</v>
      </c>
      <c r="BQ75" t="e">
        <f>AND(#REF!,"AAAAAHv2m0Q=")</f>
        <v>#REF!</v>
      </c>
      <c r="BR75" t="e">
        <f>AND(#REF!,"AAAAAHv2m0U=")</f>
        <v>#REF!</v>
      </c>
      <c r="BS75" t="e">
        <f>AND(#REF!,"AAAAAHv2m0Y=")</f>
        <v>#REF!</v>
      </c>
      <c r="BT75" t="e">
        <f>AND(#REF!,"AAAAAHv2m0c=")</f>
        <v>#REF!</v>
      </c>
      <c r="BU75" t="e">
        <f>AND(#REF!,"AAAAAHv2m0g=")</f>
        <v>#REF!</v>
      </c>
      <c r="BV75" t="e">
        <f>AND(#REF!,"AAAAAHv2m0k=")</f>
        <v>#REF!</v>
      </c>
      <c r="BW75" t="e">
        <f>AND(#REF!,"AAAAAHv2m0o=")</f>
        <v>#REF!</v>
      </c>
      <c r="BX75" t="e">
        <f>AND(#REF!,"AAAAAHv2m0s=")</f>
        <v>#REF!</v>
      </c>
      <c r="BY75" t="e">
        <f>AND(#REF!,"AAAAAHv2m0w=")</f>
        <v>#REF!</v>
      </c>
      <c r="BZ75" t="e">
        <f>AND(#REF!,"AAAAAHv2m00=")</f>
        <v>#REF!</v>
      </c>
      <c r="CA75" t="e">
        <f>AND(#REF!,"AAAAAHv2m04=")</f>
        <v>#REF!</v>
      </c>
      <c r="CB75" t="e">
        <f>AND(#REF!,"AAAAAHv2m08=")</f>
        <v>#REF!</v>
      </c>
      <c r="CC75" t="e">
        <f>AND(#REF!,"AAAAAHv2m1A=")</f>
        <v>#REF!</v>
      </c>
      <c r="CD75" t="e">
        <f>AND(#REF!,"AAAAAHv2m1E=")</f>
        <v>#REF!</v>
      </c>
      <c r="CE75" t="e">
        <f>IF(#REF!,"AAAAAHv2m1I=",0)</f>
        <v>#REF!</v>
      </c>
      <c r="CF75" t="e">
        <f>AND(#REF!,"AAAAAHv2m1M=")</f>
        <v>#REF!</v>
      </c>
      <c r="CG75" t="e">
        <f>AND(#REF!,"AAAAAHv2m1Q=")</f>
        <v>#REF!</v>
      </c>
      <c r="CH75" t="e">
        <f>AND(#REF!,"AAAAAHv2m1U=")</f>
        <v>#REF!</v>
      </c>
      <c r="CI75" t="e">
        <f>AND(#REF!,"AAAAAHv2m1Y=")</f>
        <v>#REF!</v>
      </c>
      <c r="CJ75" t="e">
        <f>AND(#REF!,"AAAAAHv2m1c=")</f>
        <v>#REF!</v>
      </c>
      <c r="CK75" t="e">
        <f>AND(#REF!,"AAAAAHv2m1g=")</f>
        <v>#REF!</v>
      </c>
      <c r="CL75" t="e">
        <f>AND(#REF!,"AAAAAHv2m1k=")</f>
        <v>#REF!</v>
      </c>
      <c r="CM75" t="e">
        <f>AND(#REF!,"AAAAAHv2m1o=")</f>
        <v>#REF!</v>
      </c>
      <c r="CN75" t="e">
        <f>AND(#REF!,"AAAAAHv2m1s=")</f>
        <v>#REF!</v>
      </c>
      <c r="CO75" t="e">
        <f>AND(#REF!,"AAAAAHv2m1w=")</f>
        <v>#REF!</v>
      </c>
      <c r="CP75" t="e">
        <f>AND(#REF!,"AAAAAHv2m10=")</f>
        <v>#REF!</v>
      </c>
      <c r="CQ75" t="e">
        <f>AND(#REF!,"AAAAAHv2m14=")</f>
        <v>#REF!</v>
      </c>
      <c r="CR75" t="e">
        <f>AND(#REF!,"AAAAAHv2m18=")</f>
        <v>#REF!</v>
      </c>
      <c r="CS75" t="e">
        <f>AND(#REF!,"AAAAAHv2m2A=")</f>
        <v>#REF!</v>
      </c>
      <c r="CT75" t="e">
        <f>IF(#REF!,"AAAAAHv2m2E=",0)</f>
        <v>#REF!</v>
      </c>
      <c r="CU75" t="e">
        <f>AND(#REF!,"AAAAAHv2m2I=")</f>
        <v>#REF!</v>
      </c>
      <c r="CV75" t="e">
        <f>AND(#REF!,"AAAAAHv2m2M=")</f>
        <v>#REF!</v>
      </c>
      <c r="CW75" t="e">
        <f>AND(#REF!,"AAAAAHv2m2Q=")</f>
        <v>#REF!</v>
      </c>
      <c r="CX75" t="e">
        <f>AND(#REF!,"AAAAAHv2m2U=")</f>
        <v>#REF!</v>
      </c>
      <c r="CY75" t="e">
        <f>AND(#REF!,"AAAAAHv2m2Y=")</f>
        <v>#REF!</v>
      </c>
      <c r="CZ75" t="e">
        <f>AND(#REF!,"AAAAAHv2m2c=")</f>
        <v>#REF!</v>
      </c>
      <c r="DA75" t="e">
        <f>AND(#REF!,"AAAAAHv2m2g=")</f>
        <v>#REF!</v>
      </c>
      <c r="DB75" t="e">
        <f>AND(#REF!,"AAAAAHv2m2k=")</f>
        <v>#REF!</v>
      </c>
      <c r="DC75" t="e">
        <f>AND(#REF!,"AAAAAHv2m2o=")</f>
        <v>#REF!</v>
      </c>
      <c r="DD75" t="e">
        <f>AND(#REF!,"AAAAAHv2m2s=")</f>
        <v>#REF!</v>
      </c>
      <c r="DE75" t="e">
        <f>AND(#REF!,"AAAAAHv2m2w=")</f>
        <v>#REF!</v>
      </c>
      <c r="DF75" t="e">
        <f>AND(#REF!,"AAAAAHv2m20=")</f>
        <v>#REF!</v>
      </c>
      <c r="DG75" t="e">
        <f>AND(#REF!,"AAAAAHv2m24=")</f>
        <v>#REF!</v>
      </c>
      <c r="DH75" t="e">
        <f>AND(#REF!,"AAAAAHv2m28=")</f>
        <v>#REF!</v>
      </c>
      <c r="DI75" t="e">
        <f>IF(#REF!,"AAAAAHv2m3A=",0)</f>
        <v>#REF!</v>
      </c>
      <c r="DJ75" t="e">
        <f>AND(#REF!,"AAAAAHv2m3E=")</f>
        <v>#REF!</v>
      </c>
      <c r="DK75" t="e">
        <f>AND(#REF!,"AAAAAHv2m3I=")</f>
        <v>#REF!</v>
      </c>
      <c r="DL75" t="e">
        <f>AND(#REF!,"AAAAAHv2m3M=")</f>
        <v>#REF!</v>
      </c>
      <c r="DM75" t="e">
        <f>AND(#REF!,"AAAAAHv2m3Q=")</f>
        <v>#REF!</v>
      </c>
      <c r="DN75" t="e">
        <f>AND(#REF!,"AAAAAHv2m3U=")</f>
        <v>#REF!</v>
      </c>
      <c r="DO75" t="e">
        <f>AND(#REF!,"AAAAAHv2m3Y=")</f>
        <v>#REF!</v>
      </c>
      <c r="DP75" t="e">
        <f>AND(#REF!,"AAAAAHv2m3c=")</f>
        <v>#REF!</v>
      </c>
      <c r="DQ75" t="e">
        <f>AND(#REF!,"AAAAAHv2m3g=")</f>
        <v>#REF!</v>
      </c>
      <c r="DR75" t="e">
        <f>AND(#REF!,"AAAAAHv2m3k=")</f>
        <v>#REF!</v>
      </c>
      <c r="DS75" t="e">
        <f>AND(#REF!,"AAAAAHv2m3o=")</f>
        <v>#REF!</v>
      </c>
      <c r="DT75" t="e">
        <f>AND(#REF!,"AAAAAHv2m3s=")</f>
        <v>#REF!</v>
      </c>
      <c r="DU75" t="e">
        <f>AND(#REF!,"AAAAAHv2m3w=")</f>
        <v>#REF!</v>
      </c>
      <c r="DV75" t="e">
        <f>AND(#REF!,"AAAAAHv2m30=")</f>
        <v>#REF!</v>
      </c>
      <c r="DW75" t="e">
        <f>AND(#REF!,"AAAAAHv2m34=")</f>
        <v>#REF!</v>
      </c>
      <c r="DX75" t="e">
        <f>IF(#REF!,"AAAAAHv2m38=",0)</f>
        <v>#REF!</v>
      </c>
      <c r="DY75" t="e">
        <f>AND(#REF!,"AAAAAHv2m4A=")</f>
        <v>#REF!</v>
      </c>
      <c r="DZ75" t="e">
        <f>AND(#REF!,"AAAAAHv2m4E=")</f>
        <v>#REF!</v>
      </c>
      <c r="EA75" t="e">
        <f>AND(#REF!,"AAAAAHv2m4I=")</f>
        <v>#REF!</v>
      </c>
      <c r="EB75" t="e">
        <f>AND(#REF!,"AAAAAHv2m4M=")</f>
        <v>#REF!</v>
      </c>
      <c r="EC75" t="e">
        <f>AND(#REF!,"AAAAAHv2m4Q=")</f>
        <v>#REF!</v>
      </c>
      <c r="ED75" t="e">
        <f>AND(#REF!,"AAAAAHv2m4U=")</f>
        <v>#REF!</v>
      </c>
      <c r="EE75" t="e">
        <f>AND(#REF!,"AAAAAHv2m4Y=")</f>
        <v>#REF!</v>
      </c>
      <c r="EF75" t="e">
        <f>AND(#REF!,"AAAAAHv2m4c=")</f>
        <v>#REF!</v>
      </c>
      <c r="EG75" t="e">
        <f>AND(#REF!,"AAAAAHv2m4g=")</f>
        <v>#REF!</v>
      </c>
      <c r="EH75" t="e">
        <f>AND(#REF!,"AAAAAHv2m4k=")</f>
        <v>#REF!</v>
      </c>
      <c r="EI75" t="e">
        <f>AND(#REF!,"AAAAAHv2m4o=")</f>
        <v>#REF!</v>
      </c>
      <c r="EJ75" t="e">
        <f>AND(#REF!,"AAAAAHv2m4s=")</f>
        <v>#REF!</v>
      </c>
      <c r="EK75" t="e">
        <f>AND(#REF!,"AAAAAHv2m4w=")</f>
        <v>#REF!</v>
      </c>
      <c r="EL75" t="e">
        <f>AND(#REF!,"AAAAAHv2m40=")</f>
        <v>#REF!</v>
      </c>
      <c r="EM75" t="e">
        <f>IF(#REF!,"AAAAAHv2m44=",0)</f>
        <v>#REF!</v>
      </c>
      <c r="EN75" t="e">
        <f>AND(#REF!,"AAAAAHv2m48=")</f>
        <v>#REF!</v>
      </c>
      <c r="EO75" t="e">
        <f>AND(#REF!,"AAAAAHv2m5A=")</f>
        <v>#REF!</v>
      </c>
      <c r="EP75" t="e">
        <f>AND(#REF!,"AAAAAHv2m5E=")</f>
        <v>#REF!</v>
      </c>
      <c r="EQ75" t="e">
        <f>AND(#REF!,"AAAAAHv2m5I=")</f>
        <v>#REF!</v>
      </c>
      <c r="ER75" t="e">
        <f>AND(#REF!,"AAAAAHv2m5M=")</f>
        <v>#REF!</v>
      </c>
      <c r="ES75" t="e">
        <f>AND(#REF!,"AAAAAHv2m5Q=")</f>
        <v>#REF!</v>
      </c>
      <c r="ET75" t="e">
        <f>AND(#REF!,"AAAAAHv2m5U=")</f>
        <v>#REF!</v>
      </c>
      <c r="EU75" t="e">
        <f>AND(#REF!,"AAAAAHv2m5Y=")</f>
        <v>#REF!</v>
      </c>
      <c r="EV75" t="e">
        <f>AND(#REF!,"AAAAAHv2m5c=")</f>
        <v>#REF!</v>
      </c>
      <c r="EW75" t="e">
        <f>AND(#REF!,"AAAAAHv2m5g=")</f>
        <v>#REF!</v>
      </c>
      <c r="EX75" t="e">
        <f>AND(#REF!,"AAAAAHv2m5k=")</f>
        <v>#REF!</v>
      </c>
      <c r="EY75" t="e">
        <f>AND(#REF!,"AAAAAHv2m5o=")</f>
        <v>#REF!</v>
      </c>
      <c r="EZ75" t="e">
        <f>AND(#REF!,"AAAAAHv2m5s=")</f>
        <v>#REF!</v>
      </c>
      <c r="FA75" t="e">
        <f>AND(#REF!,"AAAAAHv2m5w=")</f>
        <v>#REF!</v>
      </c>
      <c r="FB75" t="e">
        <f>IF(#REF!,"AAAAAHv2m50=",0)</f>
        <v>#REF!</v>
      </c>
      <c r="FC75" t="e">
        <f>AND(#REF!,"AAAAAHv2m54=")</f>
        <v>#REF!</v>
      </c>
      <c r="FD75" t="e">
        <f>AND(#REF!,"AAAAAHv2m58=")</f>
        <v>#REF!</v>
      </c>
      <c r="FE75" t="e">
        <f>AND(#REF!,"AAAAAHv2m6A=")</f>
        <v>#REF!</v>
      </c>
      <c r="FF75" t="e">
        <f>AND(#REF!,"AAAAAHv2m6E=")</f>
        <v>#REF!</v>
      </c>
      <c r="FG75" t="e">
        <f>AND(#REF!,"AAAAAHv2m6I=")</f>
        <v>#REF!</v>
      </c>
      <c r="FH75" t="e">
        <f>AND(#REF!,"AAAAAHv2m6M=")</f>
        <v>#REF!</v>
      </c>
      <c r="FI75" t="e">
        <f>AND(#REF!,"AAAAAHv2m6Q=")</f>
        <v>#REF!</v>
      </c>
      <c r="FJ75" t="e">
        <f>AND(#REF!,"AAAAAHv2m6U=")</f>
        <v>#REF!</v>
      </c>
      <c r="FK75" t="e">
        <f>AND(#REF!,"AAAAAHv2m6Y=")</f>
        <v>#REF!</v>
      </c>
      <c r="FL75" t="e">
        <f>AND(#REF!,"AAAAAHv2m6c=")</f>
        <v>#REF!</v>
      </c>
      <c r="FM75" t="e">
        <f>AND(#REF!,"AAAAAHv2m6g=")</f>
        <v>#REF!</v>
      </c>
      <c r="FN75" t="e">
        <f>AND(#REF!,"AAAAAHv2m6k=")</f>
        <v>#REF!</v>
      </c>
      <c r="FO75" t="e">
        <f>AND(#REF!,"AAAAAHv2m6o=")</f>
        <v>#REF!</v>
      </c>
      <c r="FP75" t="e">
        <f>AND(#REF!,"AAAAAHv2m6s=")</f>
        <v>#REF!</v>
      </c>
      <c r="FQ75" t="e">
        <f>IF(#REF!,"AAAAAHv2m6w=",0)</f>
        <v>#REF!</v>
      </c>
      <c r="FR75" t="e">
        <f>AND(#REF!,"AAAAAHv2m60=")</f>
        <v>#REF!</v>
      </c>
      <c r="FS75" t="e">
        <f>AND(#REF!,"AAAAAHv2m64=")</f>
        <v>#REF!</v>
      </c>
      <c r="FT75" t="e">
        <f>AND(#REF!,"AAAAAHv2m68=")</f>
        <v>#REF!</v>
      </c>
      <c r="FU75" t="e">
        <f>AND(#REF!,"AAAAAHv2m7A=")</f>
        <v>#REF!</v>
      </c>
      <c r="FV75" t="e">
        <f>AND(#REF!,"AAAAAHv2m7E=")</f>
        <v>#REF!</v>
      </c>
      <c r="FW75" t="e">
        <f>AND(#REF!,"AAAAAHv2m7I=")</f>
        <v>#REF!</v>
      </c>
      <c r="FX75" t="e">
        <f>AND(#REF!,"AAAAAHv2m7M=")</f>
        <v>#REF!</v>
      </c>
      <c r="FY75" t="e">
        <f>AND(#REF!,"AAAAAHv2m7Q=")</f>
        <v>#REF!</v>
      </c>
      <c r="FZ75" t="e">
        <f>AND(#REF!,"AAAAAHv2m7U=")</f>
        <v>#REF!</v>
      </c>
      <c r="GA75" t="e">
        <f>AND(#REF!,"AAAAAHv2m7Y=")</f>
        <v>#REF!</v>
      </c>
      <c r="GB75" t="e">
        <f>AND(#REF!,"AAAAAHv2m7c=")</f>
        <v>#REF!</v>
      </c>
      <c r="GC75" t="e">
        <f>AND(#REF!,"AAAAAHv2m7g=")</f>
        <v>#REF!</v>
      </c>
      <c r="GD75" t="e">
        <f>AND(#REF!,"AAAAAHv2m7k=")</f>
        <v>#REF!</v>
      </c>
      <c r="GE75" t="e">
        <f>AND(#REF!,"AAAAAHv2m7o=")</f>
        <v>#REF!</v>
      </c>
      <c r="GF75" t="e">
        <f>IF(#REF!,"AAAAAHv2m7s=",0)</f>
        <v>#REF!</v>
      </c>
      <c r="GG75" t="e">
        <f>AND(#REF!,"AAAAAHv2m7w=")</f>
        <v>#REF!</v>
      </c>
      <c r="GH75" t="e">
        <f>AND(#REF!,"AAAAAHv2m70=")</f>
        <v>#REF!</v>
      </c>
      <c r="GI75" t="e">
        <f>AND(#REF!,"AAAAAHv2m74=")</f>
        <v>#REF!</v>
      </c>
      <c r="GJ75" t="e">
        <f>AND(#REF!,"AAAAAHv2m78=")</f>
        <v>#REF!</v>
      </c>
      <c r="GK75" t="e">
        <f>AND(#REF!,"AAAAAHv2m8A=")</f>
        <v>#REF!</v>
      </c>
      <c r="GL75" t="e">
        <f>AND(#REF!,"AAAAAHv2m8E=")</f>
        <v>#REF!</v>
      </c>
      <c r="GM75" t="e">
        <f>AND(#REF!,"AAAAAHv2m8I=")</f>
        <v>#REF!</v>
      </c>
      <c r="GN75" t="e">
        <f>AND(#REF!,"AAAAAHv2m8M=")</f>
        <v>#REF!</v>
      </c>
      <c r="GO75" t="e">
        <f>AND(#REF!,"AAAAAHv2m8Q=")</f>
        <v>#REF!</v>
      </c>
      <c r="GP75" t="e">
        <f>AND(#REF!,"AAAAAHv2m8U=")</f>
        <v>#REF!</v>
      </c>
      <c r="GQ75" t="e">
        <f>AND(#REF!,"AAAAAHv2m8Y=")</f>
        <v>#REF!</v>
      </c>
      <c r="GR75" t="e">
        <f>AND(#REF!,"AAAAAHv2m8c=")</f>
        <v>#REF!</v>
      </c>
      <c r="GS75" t="e">
        <f>AND(#REF!,"AAAAAHv2m8g=")</f>
        <v>#REF!</v>
      </c>
      <c r="GT75" t="e">
        <f>AND(#REF!,"AAAAAHv2m8k=")</f>
        <v>#REF!</v>
      </c>
      <c r="GU75" t="e">
        <f>IF(#REF!,"AAAAAHv2m8o=",0)</f>
        <v>#REF!</v>
      </c>
      <c r="GV75" t="e">
        <f>AND(#REF!,"AAAAAHv2m8s=")</f>
        <v>#REF!</v>
      </c>
      <c r="GW75" t="e">
        <f>AND(#REF!,"AAAAAHv2m8w=")</f>
        <v>#REF!</v>
      </c>
      <c r="GX75" t="e">
        <f>AND(#REF!,"AAAAAHv2m80=")</f>
        <v>#REF!</v>
      </c>
      <c r="GY75" t="e">
        <f>AND(#REF!,"AAAAAHv2m84=")</f>
        <v>#REF!</v>
      </c>
      <c r="GZ75" t="e">
        <f>AND(#REF!,"AAAAAHv2m88=")</f>
        <v>#REF!</v>
      </c>
      <c r="HA75" t="e">
        <f>AND(#REF!,"AAAAAHv2m9A=")</f>
        <v>#REF!</v>
      </c>
      <c r="HB75" t="e">
        <f>AND(#REF!,"AAAAAHv2m9E=")</f>
        <v>#REF!</v>
      </c>
      <c r="HC75" t="e">
        <f>AND(#REF!,"AAAAAHv2m9I=")</f>
        <v>#REF!</v>
      </c>
      <c r="HD75" t="e">
        <f>AND(#REF!,"AAAAAHv2m9M=")</f>
        <v>#REF!</v>
      </c>
      <c r="HE75" t="e">
        <f>AND(#REF!,"AAAAAHv2m9Q=")</f>
        <v>#REF!</v>
      </c>
      <c r="HF75" t="e">
        <f>AND(#REF!,"AAAAAHv2m9U=")</f>
        <v>#REF!</v>
      </c>
      <c r="HG75" t="e">
        <f>AND(#REF!,"AAAAAHv2m9Y=")</f>
        <v>#REF!</v>
      </c>
      <c r="HH75" t="e">
        <f>AND(#REF!,"AAAAAHv2m9c=")</f>
        <v>#REF!</v>
      </c>
      <c r="HI75" t="e">
        <f>AND(#REF!,"AAAAAHv2m9g=")</f>
        <v>#REF!</v>
      </c>
      <c r="HJ75" t="e">
        <f>IF(#REF!,"AAAAAHv2m9k=",0)</f>
        <v>#REF!</v>
      </c>
      <c r="HK75" t="e">
        <f>AND(#REF!,"AAAAAHv2m9o=")</f>
        <v>#REF!</v>
      </c>
      <c r="HL75" t="e">
        <f>AND(#REF!,"AAAAAHv2m9s=")</f>
        <v>#REF!</v>
      </c>
      <c r="HM75" t="e">
        <f>AND(#REF!,"AAAAAHv2m9w=")</f>
        <v>#REF!</v>
      </c>
      <c r="HN75" t="e">
        <f>AND(#REF!,"AAAAAHv2m90=")</f>
        <v>#REF!</v>
      </c>
      <c r="HO75" t="e">
        <f>AND(#REF!,"AAAAAHv2m94=")</f>
        <v>#REF!</v>
      </c>
      <c r="HP75" t="e">
        <f>AND(#REF!,"AAAAAHv2m98=")</f>
        <v>#REF!</v>
      </c>
      <c r="HQ75" t="e">
        <f>AND(#REF!,"AAAAAHv2m+A=")</f>
        <v>#REF!</v>
      </c>
      <c r="HR75" t="e">
        <f>AND(#REF!,"AAAAAHv2m+E=")</f>
        <v>#REF!</v>
      </c>
      <c r="HS75" t="e">
        <f>AND(#REF!,"AAAAAHv2m+I=")</f>
        <v>#REF!</v>
      </c>
      <c r="HT75" t="e">
        <f>AND(#REF!,"AAAAAHv2m+M=")</f>
        <v>#REF!</v>
      </c>
      <c r="HU75" t="e">
        <f>AND(#REF!,"AAAAAHv2m+Q=")</f>
        <v>#REF!</v>
      </c>
      <c r="HV75" t="e">
        <f>AND(#REF!,"AAAAAHv2m+U=")</f>
        <v>#REF!</v>
      </c>
      <c r="HW75" t="e">
        <f>AND(#REF!,"AAAAAHv2m+Y=")</f>
        <v>#REF!</v>
      </c>
      <c r="HX75" t="e">
        <f>AND(#REF!,"AAAAAHv2m+c=")</f>
        <v>#REF!</v>
      </c>
      <c r="HY75" t="e">
        <f>IF(#REF!,"AAAAAHv2m+g=",0)</f>
        <v>#REF!</v>
      </c>
      <c r="HZ75" t="e">
        <f>AND(#REF!,"AAAAAHv2m+k=")</f>
        <v>#REF!</v>
      </c>
      <c r="IA75" t="e">
        <f>AND(#REF!,"AAAAAHv2m+o=")</f>
        <v>#REF!</v>
      </c>
      <c r="IB75" t="e">
        <f>AND(#REF!,"AAAAAHv2m+s=")</f>
        <v>#REF!</v>
      </c>
      <c r="IC75" t="e">
        <f>AND(#REF!,"AAAAAHv2m+w=")</f>
        <v>#REF!</v>
      </c>
      <c r="ID75" t="e">
        <f>AND(#REF!,"AAAAAHv2m+0=")</f>
        <v>#REF!</v>
      </c>
      <c r="IE75" t="e">
        <f>AND(#REF!,"AAAAAHv2m+4=")</f>
        <v>#REF!</v>
      </c>
      <c r="IF75" t="e">
        <f>AND(#REF!,"AAAAAHv2m+8=")</f>
        <v>#REF!</v>
      </c>
      <c r="IG75" t="e">
        <f>AND(#REF!,"AAAAAHv2m/A=")</f>
        <v>#REF!</v>
      </c>
      <c r="IH75" t="e">
        <f>AND(#REF!,"AAAAAHv2m/E=")</f>
        <v>#REF!</v>
      </c>
      <c r="II75" t="e">
        <f>AND(#REF!,"AAAAAHv2m/I=")</f>
        <v>#REF!</v>
      </c>
      <c r="IJ75" t="e">
        <f>AND(#REF!,"AAAAAHv2m/M=")</f>
        <v>#REF!</v>
      </c>
      <c r="IK75" t="e">
        <f>AND(#REF!,"AAAAAHv2m/Q=")</f>
        <v>#REF!</v>
      </c>
      <c r="IL75" t="e">
        <f>AND(#REF!,"AAAAAHv2m/U=")</f>
        <v>#REF!</v>
      </c>
      <c r="IM75" t="e">
        <f>AND(#REF!,"AAAAAHv2m/Y=")</f>
        <v>#REF!</v>
      </c>
      <c r="IN75" t="e">
        <f>IF(#REF!,"AAAAAHv2m/c=",0)</f>
        <v>#REF!</v>
      </c>
      <c r="IO75" t="e">
        <f>AND(#REF!,"AAAAAHv2m/g=")</f>
        <v>#REF!</v>
      </c>
      <c r="IP75" t="e">
        <f>AND(#REF!,"AAAAAHv2m/k=")</f>
        <v>#REF!</v>
      </c>
      <c r="IQ75" t="e">
        <f>AND(#REF!,"AAAAAHv2m/o=")</f>
        <v>#REF!</v>
      </c>
      <c r="IR75" t="e">
        <f>AND(#REF!,"AAAAAHv2m/s=")</f>
        <v>#REF!</v>
      </c>
      <c r="IS75" t="e">
        <f>AND(#REF!,"AAAAAHv2m/w=")</f>
        <v>#REF!</v>
      </c>
      <c r="IT75" t="e">
        <f>AND(#REF!,"AAAAAHv2m/0=")</f>
        <v>#REF!</v>
      </c>
      <c r="IU75" t="e">
        <f>AND(#REF!,"AAAAAHv2m/4=")</f>
        <v>#REF!</v>
      </c>
      <c r="IV75" t="e">
        <f>AND(#REF!,"AAAAAHv2m/8=")</f>
        <v>#REF!</v>
      </c>
    </row>
    <row r="76" spans="1:256" x14ac:dyDescent="0.15">
      <c r="A76" t="e">
        <f>AND(#REF!,"AAAAABic+wA=")</f>
        <v>#REF!</v>
      </c>
      <c r="B76" t="e">
        <f>AND(#REF!,"AAAAABic+wE=")</f>
        <v>#REF!</v>
      </c>
      <c r="C76" t="e">
        <f>AND(#REF!,"AAAAABic+wI=")</f>
        <v>#REF!</v>
      </c>
      <c r="D76" t="e">
        <f>AND(#REF!,"AAAAABic+wM=")</f>
        <v>#REF!</v>
      </c>
      <c r="E76" t="e">
        <f>AND(#REF!,"AAAAABic+wQ=")</f>
        <v>#REF!</v>
      </c>
      <c r="F76" t="e">
        <f>AND(#REF!,"AAAAABic+wU=")</f>
        <v>#REF!</v>
      </c>
      <c r="G76" t="e">
        <f>IF(#REF!,"AAAAABic+wY=",0)</f>
        <v>#REF!</v>
      </c>
      <c r="H76" t="e">
        <f>AND(#REF!,"AAAAABic+wc=")</f>
        <v>#REF!</v>
      </c>
      <c r="I76" t="e">
        <f>AND(#REF!,"AAAAABic+wg=")</f>
        <v>#REF!</v>
      </c>
      <c r="J76" t="e">
        <f>AND(#REF!,"AAAAABic+wk=")</f>
        <v>#REF!</v>
      </c>
      <c r="K76" t="e">
        <f>AND(#REF!,"AAAAABic+wo=")</f>
        <v>#REF!</v>
      </c>
      <c r="L76" t="e">
        <f>AND(#REF!,"AAAAABic+ws=")</f>
        <v>#REF!</v>
      </c>
      <c r="M76" t="e">
        <f>AND(#REF!,"AAAAABic+ww=")</f>
        <v>#REF!</v>
      </c>
      <c r="N76" t="e">
        <f>AND(#REF!,"AAAAABic+w0=")</f>
        <v>#REF!</v>
      </c>
      <c r="O76" t="e">
        <f>AND(#REF!,"AAAAABic+w4=")</f>
        <v>#REF!</v>
      </c>
      <c r="P76" t="e">
        <f>AND(#REF!,"AAAAABic+w8=")</f>
        <v>#REF!</v>
      </c>
      <c r="Q76" t="e">
        <f>AND(#REF!,"AAAAABic+xA=")</f>
        <v>#REF!</v>
      </c>
      <c r="R76" t="e">
        <f>AND(#REF!,"AAAAABic+xE=")</f>
        <v>#REF!</v>
      </c>
      <c r="S76" t="e">
        <f>AND(#REF!,"AAAAABic+xI=")</f>
        <v>#REF!</v>
      </c>
      <c r="T76" t="e">
        <f>AND(#REF!,"AAAAABic+xM=")</f>
        <v>#REF!</v>
      </c>
      <c r="U76" t="e">
        <f>AND(#REF!,"AAAAABic+xQ=")</f>
        <v>#REF!</v>
      </c>
      <c r="V76" t="e">
        <f>IF(#REF!,"AAAAABic+xU=",0)</f>
        <v>#REF!</v>
      </c>
      <c r="W76" t="e">
        <f>AND(#REF!,"AAAAABic+xY=")</f>
        <v>#REF!</v>
      </c>
      <c r="X76" t="e">
        <f>AND(#REF!,"AAAAABic+xc=")</f>
        <v>#REF!</v>
      </c>
      <c r="Y76" t="e">
        <f>AND(#REF!,"AAAAABic+xg=")</f>
        <v>#REF!</v>
      </c>
      <c r="Z76" t="e">
        <f>AND(#REF!,"AAAAABic+xk=")</f>
        <v>#REF!</v>
      </c>
      <c r="AA76" t="e">
        <f>AND(#REF!,"AAAAABic+xo=")</f>
        <v>#REF!</v>
      </c>
      <c r="AB76" t="e">
        <f>AND(#REF!,"AAAAABic+xs=")</f>
        <v>#REF!</v>
      </c>
      <c r="AC76" t="e">
        <f>AND(#REF!,"AAAAABic+xw=")</f>
        <v>#REF!</v>
      </c>
      <c r="AD76" t="e">
        <f>AND(#REF!,"AAAAABic+x0=")</f>
        <v>#REF!</v>
      </c>
      <c r="AE76" t="e">
        <f>AND(#REF!,"AAAAABic+x4=")</f>
        <v>#REF!</v>
      </c>
      <c r="AF76" t="e">
        <f>AND(#REF!,"AAAAABic+x8=")</f>
        <v>#REF!</v>
      </c>
      <c r="AG76" t="e">
        <f>AND(#REF!,"AAAAABic+yA=")</f>
        <v>#REF!</v>
      </c>
      <c r="AH76" t="e">
        <f>AND(#REF!,"AAAAABic+yE=")</f>
        <v>#REF!</v>
      </c>
      <c r="AI76" t="e">
        <f>AND(#REF!,"AAAAABic+yI=")</f>
        <v>#REF!</v>
      </c>
      <c r="AJ76" t="e">
        <f>AND(#REF!,"AAAAABic+yM=")</f>
        <v>#REF!</v>
      </c>
      <c r="AK76" t="e">
        <f>IF(#REF!,"AAAAABic+yQ=",0)</f>
        <v>#REF!</v>
      </c>
      <c r="AL76" t="e">
        <f>AND(#REF!,"AAAAABic+yU=")</f>
        <v>#REF!</v>
      </c>
      <c r="AM76" t="e">
        <f>AND(#REF!,"AAAAABic+yY=")</f>
        <v>#REF!</v>
      </c>
      <c r="AN76" t="e">
        <f>AND(#REF!,"AAAAABic+yc=")</f>
        <v>#REF!</v>
      </c>
      <c r="AO76" t="e">
        <f>AND(#REF!,"AAAAABic+yg=")</f>
        <v>#REF!</v>
      </c>
      <c r="AP76" t="e">
        <f>AND(#REF!,"AAAAABic+yk=")</f>
        <v>#REF!</v>
      </c>
      <c r="AQ76" t="e">
        <f>AND(#REF!,"AAAAABic+yo=")</f>
        <v>#REF!</v>
      </c>
      <c r="AR76" t="e">
        <f>AND(#REF!,"AAAAABic+ys=")</f>
        <v>#REF!</v>
      </c>
      <c r="AS76" t="e">
        <f>AND(#REF!,"AAAAABic+yw=")</f>
        <v>#REF!</v>
      </c>
      <c r="AT76" t="e">
        <f>AND(#REF!,"AAAAABic+y0=")</f>
        <v>#REF!</v>
      </c>
      <c r="AU76" t="e">
        <f>AND(#REF!,"AAAAABic+y4=")</f>
        <v>#REF!</v>
      </c>
      <c r="AV76" t="e">
        <f>AND(#REF!,"AAAAABic+y8=")</f>
        <v>#REF!</v>
      </c>
      <c r="AW76" t="e">
        <f>AND(#REF!,"AAAAABic+zA=")</f>
        <v>#REF!</v>
      </c>
      <c r="AX76" t="e">
        <f>AND(#REF!,"AAAAABic+zE=")</f>
        <v>#REF!</v>
      </c>
      <c r="AY76" t="e">
        <f>AND(#REF!,"AAAAABic+zI=")</f>
        <v>#REF!</v>
      </c>
      <c r="AZ76" t="e">
        <f>IF(#REF!,"AAAAABic+zM=",0)</f>
        <v>#REF!</v>
      </c>
      <c r="BA76" t="e">
        <f>AND(#REF!,"AAAAABic+zQ=")</f>
        <v>#REF!</v>
      </c>
      <c r="BB76" t="e">
        <f>AND(#REF!,"AAAAABic+zU=")</f>
        <v>#REF!</v>
      </c>
      <c r="BC76" t="e">
        <f>AND(#REF!,"AAAAABic+zY=")</f>
        <v>#REF!</v>
      </c>
      <c r="BD76" t="e">
        <f>AND(#REF!,"AAAAABic+zc=")</f>
        <v>#REF!</v>
      </c>
      <c r="BE76" t="e">
        <f>AND(#REF!,"AAAAABic+zg=")</f>
        <v>#REF!</v>
      </c>
      <c r="BF76" t="e">
        <f>AND(#REF!,"AAAAABic+zk=")</f>
        <v>#REF!</v>
      </c>
      <c r="BG76" t="e">
        <f>AND(#REF!,"AAAAABic+zo=")</f>
        <v>#REF!</v>
      </c>
      <c r="BH76" t="e">
        <f>AND(#REF!,"AAAAABic+zs=")</f>
        <v>#REF!</v>
      </c>
      <c r="BI76" t="e">
        <f>AND(#REF!,"AAAAABic+zw=")</f>
        <v>#REF!</v>
      </c>
      <c r="BJ76" t="e">
        <f>AND(#REF!,"AAAAABic+z0=")</f>
        <v>#REF!</v>
      </c>
      <c r="BK76" t="e">
        <f>AND(#REF!,"AAAAABic+z4=")</f>
        <v>#REF!</v>
      </c>
      <c r="BL76" t="e">
        <f>AND(#REF!,"AAAAABic+z8=")</f>
        <v>#REF!</v>
      </c>
      <c r="BM76" t="e">
        <f>AND(#REF!,"AAAAABic+0A=")</f>
        <v>#REF!</v>
      </c>
      <c r="BN76" t="e">
        <f>AND(#REF!,"AAAAABic+0E=")</f>
        <v>#REF!</v>
      </c>
      <c r="BO76" t="e">
        <f>IF(#REF!,"AAAAABic+0I=",0)</f>
        <v>#REF!</v>
      </c>
      <c r="BP76" t="e">
        <f>AND(#REF!,"AAAAABic+0M=")</f>
        <v>#REF!</v>
      </c>
      <c r="BQ76" t="e">
        <f>AND(#REF!,"AAAAABic+0Q=")</f>
        <v>#REF!</v>
      </c>
      <c r="BR76" t="e">
        <f>AND(#REF!,"AAAAABic+0U=")</f>
        <v>#REF!</v>
      </c>
      <c r="BS76" t="e">
        <f>AND(#REF!,"AAAAABic+0Y=")</f>
        <v>#REF!</v>
      </c>
      <c r="BT76" t="e">
        <f>AND(#REF!,"AAAAABic+0c=")</f>
        <v>#REF!</v>
      </c>
      <c r="BU76" t="e">
        <f>AND(#REF!,"AAAAABic+0g=")</f>
        <v>#REF!</v>
      </c>
      <c r="BV76" t="e">
        <f>AND(#REF!,"AAAAABic+0k=")</f>
        <v>#REF!</v>
      </c>
      <c r="BW76" t="e">
        <f>AND(#REF!,"AAAAABic+0o=")</f>
        <v>#REF!</v>
      </c>
      <c r="BX76" t="e">
        <f>AND(#REF!,"AAAAABic+0s=")</f>
        <v>#REF!</v>
      </c>
      <c r="BY76" t="e">
        <f>AND(#REF!,"AAAAABic+0w=")</f>
        <v>#REF!</v>
      </c>
      <c r="BZ76" t="e">
        <f>AND(#REF!,"AAAAABic+00=")</f>
        <v>#REF!</v>
      </c>
      <c r="CA76" t="e">
        <f>AND(#REF!,"AAAAABic+04=")</f>
        <v>#REF!</v>
      </c>
      <c r="CB76" t="e">
        <f>AND(#REF!,"AAAAABic+08=")</f>
        <v>#REF!</v>
      </c>
      <c r="CC76" t="e">
        <f>AND(#REF!,"AAAAABic+1A=")</f>
        <v>#REF!</v>
      </c>
      <c r="CD76" t="e">
        <f>IF(#REF!,"AAAAABic+1E=",0)</f>
        <v>#REF!</v>
      </c>
      <c r="CE76" t="e">
        <f>AND(#REF!,"AAAAABic+1I=")</f>
        <v>#REF!</v>
      </c>
      <c r="CF76" t="e">
        <f>AND(#REF!,"AAAAABic+1M=")</f>
        <v>#REF!</v>
      </c>
      <c r="CG76" t="e">
        <f>AND(#REF!,"AAAAABic+1Q=")</f>
        <v>#REF!</v>
      </c>
      <c r="CH76" t="e">
        <f>AND(#REF!,"AAAAABic+1U=")</f>
        <v>#REF!</v>
      </c>
      <c r="CI76" t="e">
        <f>AND(#REF!,"AAAAABic+1Y=")</f>
        <v>#REF!</v>
      </c>
      <c r="CJ76" t="e">
        <f>AND(#REF!,"AAAAABic+1c=")</f>
        <v>#REF!</v>
      </c>
      <c r="CK76" t="e">
        <f>AND(#REF!,"AAAAABic+1g=")</f>
        <v>#REF!</v>
      </c>
      <c r="CL76" t="e">
        <f>AND(#REF!,"AAAAABic+1k=")</f>
        <v>#REF!</v>
      </c>
      <c r="CM76" t="e">
        <f>AND(#REF!,"AAAAABic+1o=")</f>
        <v>#REF!</v>
      </c>
      <c r="CN76" t="e">
        <f>AND(#REF!,"AAAAABic+1s=")</f>
        <v>#REF!</v>
      </c>
      <c r="CO76" t="e">
        <f>AND(#REF!,"AAAAABic+1w=")</f>
        <v>#REF!</v>
      </c>
      <c r="CP76" t="e">
        <f>AND(#REF!,"AAAAABic+10=")</f>
        <v>#REF!</v>
      </c>
      <c r="CQ76" t="e">
        <f>AND(#REF!,"AAAAABic+14=")</f>
        <v>#REF!</v>
      </c>
      <c r="CR76" t="e">
        <f>AND(#REF!,"AAAAABic+18=")</f>
        <v>#REF!</v>
      </c>
      <c r="CS76" t="e">
        <f>IF(#REF!,"AAAAABic+2A=",0)</f>
        <v>#REF!</v>
      </c>
      <c r="CT76" t="e">
        <f>AND(#REF!,"AAAAABic+2E=")</f>
        <v>#REF!</v>
      </c>
      <c r="CU76" t="e">
        <f>AND(#REF!,"AAAAABic+2I=")</f>
        <v>#REF!</v>
      </c>
      <c r="CV76" t="e">
        <f>AND(#REF!,"AAAAABic+2M=")</f>
        <v>#REF!</v>
      </c>
      <c r="CW76" t="e">
        <f>AND(#REF!,"AAAAABic+2Q=")</f>
        <v>#REF!</v>
      </c>
      <c r="CX76" t="e">
        <f>AND(#REF!,"AAAAABic+2U=")</f>
        <v>#REF!</v>
      </c>
      <c r="CY76" t="e">
        <f>AND(#REF!,"AAAAABic+2Y=")</f>
        <v>#REF!</v>
      </c>
      <c r="CZ76" t="e">
        <f>AND(#REF!,"AAAAABic+2c=")</f>
        <v>#REF!</v>
      </c>
      <c r="DA76" t="e">
        <f>AND(#REF!,"AAAAABic+2g=")</f>
        <v>#REF!</v>
      </c>
      <c r="DB76" t="e">
        <f>AND(#REF!,"AAAAABic+2k=")</f>
        <v>#REF!</v>
      </c>
      <c r="DC76" t="e">
        <f>AND(#REF!,"AAAAABic+2o=")</f>
        <v>#REF!</v>
      </c>
      <c r="DD76" t="e">
        <f>AND(#REF!,"AAAAABic+2s=")</f>
        <v>#REF!</v>
      </c>
      <c r="DE76" t="e">
        <f>AND(#REF!,"AAAAABic+2w=")</f>
        <v>#REF!</v>
      </c>
      <c r="DF76" t="e">
        <f>AND(#REF!,"AAAAABic+20=")</f>
        <v>#REF!</v>
      </c>
      <c r="DG76" t="e">
        <f>AND(#REF!,"AAAAABic+24=")</f>
        <v>#REF!</v>
      </c>
      <c r="DH76" t="e">
        <f>IF(#REF!,"AAAAABic+28=",0)</f>
        <v>#REF!</v>
      </c>
      <c r="DI76" t="e">
        <f>AND(#REF!,"AAAAABic+3A=")</f>
        <v>#REF!</v>
      </c>
      <c r="DJ76" t="e">
        <f>AND(#REF!,"AAAAABic+3E=")</f>
        <v>#REF!</v>
      </c>
      <c r="DK76" t="e">
        <f>AND(#REF!,"AAAAABic+3I=")</f>
        <v>#REF!</v>
      </c>
      <c r="DL76" t="e">
        <f>AND(#REF!,"AAAAABic+3M=")</f>
        <v>#REF!</v>
      </c>
      <c r="DM76" t="e">
        <f>AND(#REF!,"AAAAABic+3Q=")</f>
        <v>#REF!</v>
      </c>
      <c r="DN76" t="e">
        <f>AND(#REF!,"AAAAABic+3U=")</f>
        <v>#REF!</v>
      </c>
      <c r="DO76" t="e">
        <f>AND(#REF!,"AAAAABic+3Y=")</f>
        <v>#REF!</v>
      </c>
      <c r="DP76" t="e">
        <f>AND(#REF!,"AAAAABic+3c=")</f>
        <v>#REF!</v>
      </c>
      <c r="DQ76" t="e">
        <f>AND(#REF!,"AAAAABic+3g=")</f>
        <v>#REF!</v>
      </c>
      <c r="DR76" t="e">
        <f>AND(#REF!,"AAAAABic+3k=")</f>
        <v>#REF!</v>
      </c>
      <c r="DS76" t="e">
        <f>AND(#REF!,"AAAAABic+3o=")</f>
        <v>#REF!</v>
      </c>
      <c r="DT76" t="e">
        <f>AND(#REF!,"AAAAABic+3s=")</f>
        <v>#REF!</v>
      </c>
      <c r="DU76" t="e">
        <f>AND(#REF!,"AAAAABic+3w=")</f>
        <v>#REF!</v>
      </c>
      <c r="DV76" t="e">
        <f>AND(#REF!,"AAAAABic+30=")</f>
        <v>#REF!</v>
      </c>
      <c r="DW76" t="e">
        <f>IF(#REF!,"AAAAABic+34=",0)</f>
        <v>#REF!</v>
      </c>
      <c r="DX76" t="e">
        <f>AND(#REF!,"AAAAABic+38=")</f>
        <v>#REF!</v>
      </c>
      <c r="DY76" t="e">
        <f>AND(#REF!,"AAAAABic+4A=")</f>
        <v>#REF!</v>
      </c>
      <c r="DZ76" t="e">
        <f>AND(#REF!,"AAAAABic+4E=")</f>
        <v>#REF!</v>
      </c>
      <c r="EA76" t="e">
        <f>AND(#REF!,"AAAAABic+4I=")</f>
        <v>#REF!</v>
      </c>
      <c r="EB76" t="e">
        <f>AND(#REF!,"AAAAABic+4M=")</f>
        <v>#REF!</v>
      </c>
      <c r="EC76" t="e">
        <f>AND(#REF!,"AAAAABic+4Q=")</f>
        <v>#REF!</v>
      </c>
      <c r="ED76" t="e">
        <f>AND(#REF!,"AAAAABic+4U=")</f>
        <v>#REF!</v>
      </c>
      <c r="EE76" t="e">
        <f>AND(#REF!,"AAAAABic+4Y=")</f>
        <v>#REF!</v>
      </c>
      <c r="EF76" t="e">
        <f>AND(#REF!,"AAAAABic+4c=")</f>
        <v>#REF!</v>
      </c>
      <c r="EG76" t="e">
        <f>AND(#REF!,"AAAAABic+4g=")</f>
        <v>#REF!</v>
      </c>
      <c r="EH76" t="e">
        <f>AND(#REF!,"AAAAABic+4k=")</f>
        <v>#REF!</v>
      </c>
      <c r="EI76" t="e">
        <f>AND(#REF!,"AAAAABic+4o=")</f>
        <v>#REF!</v>
      </c>
      <c r="EJ76" t="e">
        <f>AND(#REF!,"AAAAABic+4s=")</f>
        <v>#REF!</v>
      </c>
      <c r="EK76" t="e">
        <f>AND(#REF!,"AAAAABic+4w=")</f>
        <v>#REF!</v>
      </c>
      <c r="EL76" t="e">
        <f>IF(#REF!,"AAAAABic+40=",0)</f>
        <v>#REF!</v>
      </c>
      <c r="EM76" t="e">
        <f>AND(#REF!,"AAAAABic+44=")</f>
        <v>#REF!</v>
      </c>
      <c r="EN76" t="e">
        <f>AND(#REF!,"AAAAABic+48=")</f>
        <v>#REF!</v>
      </c>
      <c r="EO76" t="e">
        <f>AND(#REF!,"AAAAABic+5A=")</f>
        <v>#REF!</v>
      </c>
      <c r="EP76" t="e">
        <f>AND(#REF!,"AAAAABic+5E=")</f>
        <v>#REF!</v>
      </c>
      <c r="EQ76" t="e">
        <f>AND(#REF!,"AAAAABic+5I=")</f>
        <v>#REF!</v>
      </c>
      <c r="ER76" t="e">
        <f>AND(#REF!,"AAAAABic+5M=")</f>
        <v>#REF!</v>
      </c>
      <c r="ES76" t="e">
        <f>AND(#REF!,"AAAAABic+5Q=")</f>
        <v>#REF!</v>
      </c>
      <c r="ET76" t="e">
        <f>AND(#REF!,"AAAAABic+5U=")</f>
        <v>#REF!</v>
      </c>
      <c r="EU76" t="e">
        <f>AND(#REF!,"AAAAABic+5Y=")</f>
        <v>#REF!</v>
      </c>
      <c r="EV76" t="e">
        <f>AND(#REF!,"AAAAABic+5c=")</f>
        <v>#REF!</v>
      </c>
      <c r="EW76" t="e">
        <f>AND(#REF!,"AAAAABic+5g=")</f>
        <v>#REF!</v>
      </c>
      <c r="EX76" t="e">
        <f>AND(#REF!,"AAAAABic+5k=")</f>
        <v>#REF!</v>
      </c>
      <c r="EY76" t="e">
        <f>AND(#REF!,"AAAAABic+5o=")</f>
        <v>#REF!</v>
      </c>
      <c r="EZ76" t="e">
        <f>AND(#REF!,"AAAAABic+5s=")</f>
        <v>#REF!</v>
      </c>
      <c r="FA76" t="e">
        <f>IF(#REF!,"AAAAABic+5w=",0)</f>
        <v>#REF!</v>
      </c>
      <c r="FB76" t="e">
        <f>AND(#REF!,"AAAAABic+50=")</f>
        <v>#REF!</v>
      </c>
      <c r="FC76" t="e">
        <f>AND(#REF!,"AAAAABic+54=")</f>
        <v>#REF!</v>
      </c>
      <c r="FD76" t="e">
        <f>AND(#REF!,"AAAAABic+58=")</f>
        <v>#REF!</v>
      </c>
      <c r="FE76" t="e">
        <f>AND(#REF!,"AAAAABic+6A=")</f>
        <v>#REF!</v>
      </c>
      <c r="FF76" t="e">
        <f>AND(#REF!,"AAAAABic+6E=")</f>
        <v>#REF!</v>
      </c>
      <c r="FG76" t="e">
        <f>AND(#REF!,"AAAAABic+6I=")</f>
        <v>#REF!</v>
      </c>
      <c r="FH76" t="e">
        <f>AND(#REF!,"AAAAABic+6M=")</f>
        <v>#REF!</v>
      </c>
      <c r="FI76" t="e">
        <f>AND(#REF!,"AAAAABic+6Q=")</f>
        <v>#REF!</v>
      </c>
      <c r="FJ76" t="e">
        <f>AND(#REF!,"AAAAABic+6U=")</f>
        <v>#REF!</v>
      </c>
      <c r="FK76" t="e">
        <f>AND(#REF!,"AAAAABic+6Y=")</f>
        <v>#REF!</v>
      </c>
      <c r="FL76" t="e">
        <f>AND(#REF!,"AAAAABic+6c=")</f>
        <v>#REF!</v>
      </c>
      <c r="FM76" t="e">
        <f>AND(#REF!,"AAAAABic+6g=")</f>
        <v>#REF!</v>
      </c>
      <c r="FN76" t="e">
        <f>AND(#REF!,"AAAAABic+6k=")</f>
        <v>#REF!</v>
      </c>
      <c r="FO76" t="e">
        <f>AND(#REF!,"AAAAABic+6o=")</f>
        <v>#REF!</v>
      </c>
      <c r="FP76" t="e">
        <f>IF(#REF!,"AAAAABic+6s=",0)</f>
        <v>#REF!</v>
      </c>
      <c r="FQ76" t="e">
        <f>AND(#REF!,"AAAAABic+6w=")</f>
        <v>#REF!</v>
      </c>
      <c r="FR76" t="e">
        <f>AND(#REF!,"AAAAABic+60=")</f>
        <v>#REF!</v>
      </c>
      <c r="FS76" t="e">
        <f>AND(#REF!,"AAAAABic+64=")</f>
        <v>#REF!</v>
      </c>
      <c r="FT76" t="e">
        <f>AND(#REF!,"AAAAABic+68=")</f>
        <v>#REF!</v>
      </c>
      <c r="FU76" t="e">
        <f>AND(#REF!,"AAAAABic+7A=")</f>
        <v>#REF!</v>
      </c>
      <c r="FV76" t="e">
        <f>AND(#REF!,"AAAAABic+7E=")</f>
        <v>#REF!</v>
      </c>
      <c r="FW76" t="e">
        <f>AND(#REF!,"AAAAABic+7I=")</f>
        <v>#REF!</v>
      </c>
      <c r="FX76" t="e">
        <f>AND(#REF!,"AAAAABic+7M=")</f>
        <v>#REF!</v>
      </c>
      <c r="FY76" t="e">
        <f>AND(#REF!,"AAAAABic+7Q=")</f>
        <v>#REF!</v>
      </c>
      <c r="FZ76" t="e">
        <f>AND(#REF!,"AAAAABic+7U=")</f>
        <v>#REF!</v>
      </c>
      <c r="GA76" t="e">
        <f>AND(#REF!,"AAAAABic+7Y=")</f>
        <v>#REF!</v>
      </c>
      <c r="GB76" t="e">
        <f>AND(#REF!,"AAAAABic+7c=")</f>
        <v>#REF!</v>
      </c>
      <c r="GC76" t="e">
        <f>AND(#REF!,"AAAAABic+7g=")</f>
        <v>#REF!</v>
      </c>
      <c r="GD76" t="e">
        <f>AND(#REF!,"AAAAABic+7k=")</f>
        <v>#REF!</v>
      </c>
      <c r="GE76" t="e">
        <f>IF(#REF!,"AAAAABic+7o=",0)</f>
        <v>#REF!</v>
      </c>
      <c r="GF76" t="e">
        <f>AND(#REF!,"AAAAABic+7s=")</f>
        <v>#REF!</v>
      </c>
      <c r="GG76" t="e">
        <f>AND(#REF!,"AAAAABic+7w=")</f>
        <v>#REF!</v>
      </c>
      <c r="GH76" t="e">
        <f>AND(#REF!,"AAAAABic+70=")</f>
        <v>#REF!</v>
      </c>
      <c r="GI76" t="e">
        <f>AND(#REF!,"AAAAABic+74=")</f>
        <v>#REF!</v>
      </c>
      <c r="GJ76" t="e">
        <f>AND(#REF!,"AAAAABic+78=")</f>
        <v>#REF!</v>
      </c>
      <c r="GK76" t="e">
        <f>AND(#REF!,"AAAAABic+8A=")</f>
        <v>#REF!</v>
      </c>
      <c r="GL76" t="e">
        <f>AND(#REF!,"AAAAABic+8E=")</f>
        <v>#REF!</v>
      </c>
      <c r="GM76" t="e">
        <f>AND(#REF!,"AAAAABic+8I=")</f>
        <v>#REF!</v>
      </c>
      <c r="GN76" t="e">
        <f>AND(#REF!,"AAAAABic+8M=")</f>
        <v>#REF!</v>
      </c>
      <c r="GO76" t="e">
        <f>AND(#REF!,"AAAAABic+8Q=")</f>
        <v>#REF!</v>
      </c>
      <c r="GP76" t="e">
        <f>AND(#REF!,"AAAAABic+8U=")</f>
        <v>#REF!</v>
      </c>
      <c r="GQ76" t="e">
        <f>AND(#REF!,"AAAAABic+8Y=")</f>
        <v>#REF!</v>
      </c>
      <c r="GR76" t="e">
        <f>AND(#REF!,"AAAAABic+8c=")</f>
        <v>#REF!</v>
      </c>
      <c r="GS76" t="e">
        <f>AND(#REF!,"AAAAABic+8g=")</f>
        <v>#REF!</v>
      </c>
      <c r="GT76" t="e">
        <f>IF(#REF!,"AAAAABic+8k=",0)</f>
        <v>#REF!</v>
      </c>
      <c r="GU76" t="e">
        <f>AND(#REF!,"AAAAABic+8o=")</f>
        <v>#REF!</v>
      </c>
      <c r="GV76" t="e">
        <f>AND(#REF!,"AAAAABic+8s=")</f>
        <v>#REF!</v>
      </c>
      <c r="GW76" t="e">
        <f>AND(#REF!,"AAAAABic+8w=")</f>
        <v>#REF!</v>
      </c>
      <c r="GX76" t="e">
        <f>AND(#REF!,"AAAAABic+80=")</f>
        <v>#REF!</v>
      </c>
      <c r="GY76" t="e">
        <f>AND(#REF!,"AAAAABic+84=")</f>
        <v>#REF!</v>
      </c>
      <c r="GZ76" t="e">
        <f>AND(#REF!,"AAAAABic+88=")</f>
        <v>#REF!</v>
      </c>
      <c r="HA76" t="e">
        <f>AND(#REF!,"AAAAABic+9A=")</f>
        <v>#REF!</v>
      </c>
      <c r="HB76" t="e">
        <f>AND(#REF!,"AAAAABic+9E=")</f>
        <v>#REF!</v>
      </c>
      <c r="HC76" t="e">
        <f>AND(#REF!,"AAAAABic+9I=")</f>
        <v>#REF!</v>
      </c>
      <c r="HD76" t="e">
        <f>AND(#REF!,"AAAAABic+9M=")</f>
        <v>#REF!</v>
      </c>
      <c r="HE76" t="e">
        <f>AND(#REF!,"AAAAABic+9Q=")</f>
        <v>#REF!</v>
      </c>
      <c r="HF76" t="e">
        <f>AND(#REF!,"AAAAABic+9U=")</f>
        <v>#REF!</v>
      </c>
      <c r="HG76" t="e">
        <f>AND(#REF!,"AAAAABic+9Y=")</f>
        <v>#REF!</v>
      </c>
      <c r="HH76" t="e">
        <f>AND(#REF!,"AAAAABic+9c=")</f>
        <v>#REF!</v>
      </c>
      <c r="HI76" t="e">
        <f>IF(#REF!,"AAAAABic+9g=",0)</f>
        <v>#REF!</v>
      </c>
      <c r="HJ76" t="e">
        <f>AND(#REF!,"AAAAABic+9k=")</f>
        <v>#REF!</v>
      </c>
      <c r="HK76" t="e">
        <f>AND(#REF!,"AAAAABic+9o=")</f>
        <v>#REF!</v>
      </c>
      <c r="HL76" t="e">
        <f>AND(#REF!,"AAAAABic+9s=")</f>
        <v>#REF!</v>
      </c>
      <c r="HM76" t="e">
        <f>AND(#REF!,"AAAAABic+9w=")</f>
        <v>#REF!</v>
      </c>
      <c r="HN76" t="e">
        <f>AND(#REF!,"AAAAABic+90=")</f>
        <v>#REF!</v>
      </c>
      <c r="HO76" t="e">
        <f>AND(#REF!,"AAAAABic+94=")</f>
        <v>#REF!</v>
      </c>
      <c r="HP76" t="e">
        <f>AND(#REF!,"AAAAABic+98=")</f>
        <v>#REF!</v>
      </c>
      <c r="HQ76" t="e">
        <f>AND(#REF!,"AAAAABic++A=")</f>
        <v>#REF!</v>
      </c>
      <c r="HR76" t="e">
        <f>AND(#REF!,"AAAAABic++E=")</f>
        <v>#REF!</v>
      </c>
      <c r="HS76" t="e">
        <f>AND(#REF!,"AAAAABic++I=")</f>
        <v>#REF!</v>
      </c>
      <c r="HT76" t="e">
        <f>AND(#REF!,"AAAAABic++M=")</f>
        <v>#REF!</v>
      </c>
      <c r="HU76" t="e">
        <f>AND(#REF!,"AAAAABic++Q=")</f>
        <v>#REF!</v>
      </c>
      <c r="HV76" t="e">
        <f>AND(#REF!,"AAAAABic++U=")</f>
        <v>#REF!</v>
      </c>
      <c r="HW76" t="e">
        <f>AND(#REF!,"AAAAABic++Y=")</f>
        <v>#REF!</v>
      </c>
      <c r="HX76" t="e">
        <f>IF(#REF!,"AAAAABic++c=",0)</f>
        <v>#REF!</v>
      </c>
      <c r="HY76" t="e">
        <f>AND(#REF!,"AAAAABic++g=")</f>
        <v>#REF!</v>
      </c>
      <c r="HZ76" t="e">
        <f>AND(#REF!,"AAAAABic++k=")</f>
        <v>#REF!</v>
      </c>
      <c r="IA76" t="e">
        <f>AND(#REF!,"AAAAABic++o=")</f>
        <v>#REF!</v>
      </c>
      <c r="IB76" t="e">
        <f>AND(#REF!,"AAAAABic++s=")</f>
        <v>#REF!</v>
      </c>
      <c r="IC76" t="e">
        <f>AND(#REF!,"AAAAABic++w=")</f>
        <v>#REF!</v>
      </c>
      <c r="ID76" t="e">
        <f>AND(#REF!,"AAAAABic++0=")</f>
        <v>#REF!</v>
      </c>
      <c r="IE76" t="e">
        <f>AND(#REF!,"AAAAABic++4=")</f>
        <v>#REF!</v>
      </c>
      <c r="IF76" t="e">
        <f>AND(#REF!,"AAAAABic++8=")</f>
        <v>#REF!</v>
      </c>
      <c r="IG76" t="e">
        <f>AND(#REF!,"AAAAABic+/A=")</f>
        <v>#REF!</v>
      </c>
      <c r="IH76" t="e">
        <f>AND(#REF!,"AAAAABic+/E=")</f>
        <v>#REF!</v>
      </c>
      <c r="II76" t="e">
        <f>AND(#REF!,"AAAAABic+/I=")</f>
        <v>#REF!</v>
      </c>
      <c r="IJ76" t="e">
        <f>AND(#REF!,"AAAAABic+/M=")</f>
        <v>#REF!</v>
      </c>
      <c r="IK76" t="e">
        <f>AND(#REF!,"AAAAABic+/Q=")</f>
        <v>#REF!</v>
      </c>
      <c r="IL76" t="e">
        <f>AND(#REF!,"AAAAABic+/U=")</f>
        <v>#REF!</v>
      </c>
      <c r="IM76" t="e">
        <f>IF(#REF!,"AAAAABic+/Y=",0)</f>
        <v>#REF!</v>
      </c>
      <c r="IN76" t="e">
        <f>AND(#REF!,"AAAAABic+/c=")</f>
        <v>#REF!</v>
      </c>
      <c r="IO76" t="e">
        <f>AND(#REF!,"AAAAABic+/g=")</f>
        <v>#REF!</v>
      </c>
      <c r="IP76" t="e">
        <f>AND(#REF!,"AAAAABic+/k=")</f>
        <v>#REF!</v>
      </c>
      <c r="IQ76" t="e">
        <f>AND(#REF!,"AAAAABic+/o=")</f>
        <v>#REF!</v>
      </c>
      <c r="IR76" t="e">
        <f>AND(#REF!,"AAAAABic+/s=")</f>
        <v>#REF!</v>
      </c>
      <c r="IS76" t="e">
        <f>AND(#REF!,"AAAAABic+/w=")</f>
        <v>#REF!</v>
      </c>
      <c r="IT76" t="e">
        <f>AND(#REF!,"AAAAABic+/0=")</f>
        <v>#REF!</v>
      </c>
      <c r="IU76" t="e">
        <f>AND(#REF!,"AAAAABic+/4=")</f>
        <v>#REF!</v>
      </c>
      <c r="IV76" t="e">
        <f>AND(#REF!,"AAAAABic+/8=")</f>
        <v>#REF!</v>
      </c>
    </row>
    <row r="77" spans="1:256" x14ac:dyDescent="0.15">
      <c r="A77" t="e">
        <f>AND(#REF!,"AAAAAD9efwA=")</f>
        <v>#REF!</v>
      </c>
      <c r="B77" t="e">
        <f>AND(#REF!,"AAAAAD9efwE=")</f>
        <v>#REF!</v>
      </c>
      <c r="C77" t="e">
        <f>AND(#REF!,"AAAAAD9efwI=")</f>
        <v>#REF!</v>
      </c>
      <c r="D77" t="e">
        <f>AND(#REF!,"AAAAAD9efwM=")</f>
        <v>#REF!</v>
      </c>
      <c r="E77" t="e">
        <f>AND(#REF!,"AAAAAD9efwQ=")</f>
        <v>#REF!</v>
      </c>
      <c r="F77" t="e">
        <f>IF(#REF!,"AAAAAD9efwU=",0)</f>
        <v>#REF!</v>
      </c>
      <c r="G77" t="e">
        <f>AND(#REF!,"AAAAAD9efwY=")</f>
        <v>#REF!</v>
      </c>
      <c r="H77" t="e">
        <f>AND(#REF!,"AAAAAD9efwc=")</f>
        <v>#REF!</v>
      </c>
      <c r="I77" t="e">
        <f>AND(#REF!,"AAAAAD9efwg=")</f>
        <v>#REF!</v>
      </c>
      <c r="J77" t="e">
        <f>AND(#REF!,"AAAAAD9efwk=")</f>
        <v>#REF!</v>
      </c>
      <c r="K77" t="e">
        <f>AND(#REF!,"AAAAAD9efwo=")</f>
        <v>#REF!</v>
      </c>
      <c r="L77" t="e">
        <f>AND(#REF!,"AAAAAD9efws=")</f>
        <v>#REF!</v>
      </c>
      <c r="M77" t="e">
        <f>AND(#REF!,"AAAAAD9efww=")</f>
        <v>#REF!</v>
      </c>
      <c r="N77" t="e">
        <f>AND(#REF!,"AAAAAD9efw0=")</f>
        <v>#REF!</v>
      </c>
      <c r="O77" t="e">
        <f>AND(#REF!,"AAAAAD9efw4=")</f>
        <v>#REF!</v>
      </c>
      <c r="P77" t="e">
        <f>AND(#REF!,"AAAAAD9efw8=")</f>
        <v>#REF!</v>
      </c>
      <c r="Q77" t="e">
        <f>AND(#REF!,"AAAAAD9efxA=")</f>
        <v>#REF!</v>
      </c>
      <c r="R77" t="e">
        <f>AND(#REF!,"AAAAAD9efxE=")</f>
        <v>#REF!</v>
      </c>
      <c r="S77" t="e">
        <f>AND(#REF!,"AAAAAD9efxI=")</f>
        <v>#REF!</v>
      </c>
      <c r="T77" t="e">
        <f>AND(#REF!,"AAAAAD9efxM=")</f>
        <v>#REF!</v>
      </c>
      <c r="U77" t="e">
        <f>IF(#REF!,"AAAAAD9efxQ=",0)</f>
        <v>#REF!</v>
      </c>
      <c r="V77" t="e">
        <f>AND(#REF!,"AAAAAD9efxU=")</f>
        <v>#REF!</v>
      </c>
      <c r="W77" t="e">
        <f>AND(#REF!,"AAAAAD9efxY=")</f>
        <v>#REF!</v>
      </c>
      <c r="X77" t="e">
        <f>AND(#REF!,"AAAAAD9efxc=")</f>
        <v>#REF!</v>
      </c>
      <c r="Y77" t="e">
        <f>AND(#REF!,"AAAAAD9efxg=")</f>
        <v>#REF!</v>
      </c>
      <c r="Z77" t="e">
        <f>AND(#REF!,"AAAAAD9efxk=")</f>
        <v>#REF!</v>
      </c>
      <c r="AA77" t="e">
        <f>AND(#REF!,"AAAAAD9efxo=")</f>
        <v>#REF!</v>
      </c>
      <c r="AB77" t="e">
        <f>AND(#REF!,"AAAAAD9efxs=")</f>
        <v>#REF!</v>
      </c>
      <c r="AC77" t="e">
        <f>AND(#REF!,"AAAAAD9efxw=")</f>
        <v>#REF!</v>
      </c>
      <c r="AD77" t="e">
        <f>AND(#REF!,"AAAAAD9efx0=")</f>
        <v>#REF!</v>
      </c>
      <c r="AE77" t="e">
        <f>AND(#REF!,"AAAAAD9efx4=")</f>
        <v>#REF!</v>
      </c>
      <c r="AF77" t="e">
        <f>AND(#REF!,"AAAAAD9efx8=")</f>
        <v>#REF!</v>
      </c>
      <c r="AG77" t="e">
        <f>AND(#REF!,"AAAAAD9efyA=")</f>
        <v>#REF!</v>
      </c>
      <c r="AH77" t="e">
        <f>AND(#REF!,"AAAAAD9efyE=")</f>
        <v>#REF!</v>
      </c>
      <c r="AI77" t="e">
        <f>AND(#REF!,"AAAAAD9efyI=")</f>
        <v>#REF!</v>
      </c>
      <c r="AJ77" t="e">
        <f>IF(#REF!,"AAAAAD9efyM=",0)</f>
        <v>#REF!</v>
      </c>
      <c r="AK77" t="e">
        <f>AND(#REF!,"AAAAAD9efyQ=")</f>
        <v>#REF!</v>
      </c>
      <c r="AL77" t="e">
        <f>AND(#REF!,"AAAAAD9efyU=")</f>
        <v>#REF!</v>
      </c>
      <c r="AM77" t="e">
        <f>AND(#REF!,"AAAAAD9efyY=")</f>
        <v>#REF!</v>
      </c>
      <c r="AN77" t="e">
        <f>AND(#REF!,"AAAAAD9efyc=")</f>
        <v>#REF!</v>
      </c>
      <c r="AO77" t="e">
        <f>AND(#REF!,"AAAAAD9efyg=")</f>
        <v>#REF!</v>
      </c>
      <c r="AP77" t="e">
        <f>AND(#REF!,"AAAAAD9efyk=")</f>
        <v>#REF!</v>
      </c>
      <c r="AQ77" t="e">
        <f>AND(#REF!,"AAAAAD9efyo=")</f>
        <v>#REF!</v>
      </c>
      <c r="AR77" t="e">
        <f>AND(#REF!,"AAAAAD9efys=")</f>
        <v>#REF!</v>
      </c>
      <c r="AS77" t="e">
        <f>AND(#REF!,"AAAAAD9efyw=")</f>
        <v>#REF!</v>
      </c>
      <c r="AT77" t="e">
        <f>AND(#REF!,"AAAAAD9efy0=")</f>
        <v>#REF!</v>
      </c>
      <c r="AU77" t="e">
        <f>AND(#REF!,"AAAAAD9efy4=")</f>
        <v>#REF!</v>
      </c>
      <c r="AV77" t="e">
        <f>AND(#REF!,"AAAAAD9efy8=")</f>
        <v>#REF!</v>
      </c>
      <c r="AW77" t="e">
        <f>AND(#REF!,"AAAAAD9efzA=")</f>
        <v>#REF!</v>
      </c>
      <c r="AX77" t="e">
        <f>AND(#REF!,"AAAAAD9efzE=")</f>
        <v>#REF!</v>
      </c>
      <c r="AY77" t="e">
        <f>IF(#REF!,"AAAAAD9efzI=",0)</f>
        <v>#REF!</v>
      </c>
      <c r="AZ77" t="e">
        <f>AND(#REF!,"AAAAAD9efzM=")</f>
        <v>#REF!</v>
      </c>
      <c r="BA77" t="e">
        <f>AND(#REF!,"AAAAAD9efzQ=")</f>
        <v>#REF!</v>
      </c>
      <c r="BB77" t="e">
        <f>AND(#REF!,"AAAAAD9efzU=")</f>
        <v>#REF!</v>
      </c>
      <c r="BC77" t="e">
        <f>AND(#REF!,"AAAAAD9efzY=")</f>
        <v>#REF!</v>
      </c>
      <c r="BD77" t="e">
        <f>AND(#REF!,"AAAAAD9efzc=")</f>
        <v>#REF!</v>
      </c>
      <c r="BE77" t="e">
        <f>AND(#REF!,"AAAAAD9efzg=")</f>
        <v>#REF!</v>
      </c>
      <c r="BF77" t="e">
        <f>AND(#REF!,"AAAAAD9efzk=")</f>
        <v>#REF!</v>
      </c>
      <c r="BG77" t="e">
        <f>AND(#REF!,"AAAAAD9efzo=")</f>
        <v>#REF!</v>
      </c>
      <c r="BH77" t="e">
        <f>AND(#REF!,"AAAAAD9efzs=")</f>
        <v>#REF!</v>
      </c>
      <c r="BI77" t="e">
        <f>AND(#REF!,"AAAAAD9efzw=")</f>
        <v>#REF!</v>
      </c>
      <c r="BJ77" t="e">
        <f>AND(#REF!,"AAAAAD9efz0=")</f>
        <v>#REF!</v>
      </c>
      <c r="BK77" t="e">
        <f>AND(#REF!,"AAAAAD9efz4=")</f>
        <v>#REF!</v>
      </c>
      <c r="BL77" t="e">
        <f>AND(#REF!,"AAAAAD9efz8=")</f>
        <v>#REF!</v>
      </c>
      <c r="BM77" t="e">
        <f>AND(#REF!,"AAAAAD9ef0A=")</f>
        <v>#REF!</v>
      </c>
      <c r="BN77" t="e">
        <f>IF(#REF!,"AAAAAD9ef0E=",0)</f>
        <v>#REF!</v>
      </c>
      <c r="BO77" t="e">
        <f>AND(#REF!,"AAAAAD9ef0I=")</f>
        <v>#REF!</v>
      </c>
      <c r="BP77" t="e">
        <f>AND(#REF!,"AAAAAD9ef0M=")</f>
        <v>#REF!</v>
      </c>
      <c r="BQ77" t="e">
        <f>AND(#REF!,"AAAAAD9ef0Q=")</f>
        <v>#REF!</v>
      </c>
      <c r="BR77" t="e">
        <f>AND(#REF!,"AAAAAD9ef0U=")</f>
        <v>#REF!</v>
      </c>
      <c r="BS77" t="e">
        <f>AND(#REF!,"AAAAAD9ef0Y=")</f>
        <v>#REF!</v>
      </c>
      <c r="BT77" t="e">
        <f>AND(#REF!,"AAAAAD9ef0c=")</f>
        <v>#REF!</v>
      </c>
      <c r="BU77" t="e">
        <f>AND(#REF!,"AAAAAD9ef0g=")</f>
        <v>#REF!</v>
      </c>
      <c r="BV77" t="e">
        <f>AND(#REF!,"AAAAAD9ef0k=")</f>
        <v>#REF!</v>
      </c>
      <c r="BW77" t="e">
        <f>AND(#REF!,"AAAAAD9ef0o=")</f>
        <v>#REF!</v>
      </c>
      <c r="BX77" t="e">
        <f>AND(#REF!,"AAAAAD9ef0s=")</f>
        <v>#REF!</v>
      </c>
      <c r="BY77" t="e">
        <f>AND(#REF!,"AAAAAD9ef0w=")</f>
        <v>#REF!</v>
      </c>
      <c r="BZ77" t="e">
        <f>AND(#REF!,"AAAAAD9ef00=")</f>
        <v>#REF!</v>
      </c>
      <c r="CA77" t="e">
        <f>AND(#REF!,"AAAAAD9ef04=")</f>
        <v>#REF!</v>
      </c>
      <c r="CB77" t="e">
        <f>AND(#REF!,"AAAAAD9ef08=")</f>
        <v>#REF!</v>
      </c>
      <c r="CC77" t="e">
        <f>IF(#REF!,"AAAAAD9ef1A=",0)</f>
        <v>#REF!</v>
      </c>
      <c r="CD77" t="e">
        <f>AND(#REF!,"AAAAAD9ef1E=")</f>
        <v>#REF!</v>
      </c>
      <c r="CE77" t="e">
        <f>AND(#REF!,"AAAAAD9ef1I=")</f>
        <v>#REF!</v>
      </c>
      <c r="CF77" t="e">
        <f>AND(#REF!,"AAAAAD9ef1M=")</f>
        <v>#REF!</v>
      </c>
      <c r="CG77" t="e">
        <f>AND(#REF!,"AAAAAD9ef1Q=")</f>
        <v>#REF!</v>
      </c>
      <c r="CH77" t="e">
        <f>AND(#REF!,"AAAAAD9ef1U=")</f>
        <v>#REF!</v>
      </c>
      <c r="CI77" t="e">
        <f>AND(#REF!,"AAAAAD9ef1Y=")</f>
        <v>#REF!</v>
      </c>
      <c r="CJ77" t="e">
        <f>AND(#REF!,"AAAAAD9ef1c=")</f>
        <v>#REF!</v>
      </c>
      <c r="CK77" t="e">
        <f>AND(#REF!,"AAAAAD9ef1g=")</f>
        <v>#REF!</v>
      </c>
      <c r="CL77" t="e">
        <f>AND(#REF!,"AAAAAD9ef1k=")</f>
        <v>#REF!</v>
      </c>
      <c r="CM77" t="e">
        <f>AND(#REF!,"AAAAAD9ef1o=")</f>
        <v>#REF!</v>
      </c>
      <c r="CN77" t="e">
        <f>AND(#REF!,"AAAAAD9ef1s=")</f>
        <v>#REF!</v>
      </c>
      <c r="CO77" t="e">
        <f>AND(#REF!,"AAAAAD9ef1w=")</f>
        <v>#REF!</v>
      </c>
      <c r="CP77" t="e">
        <f>AND(#REF!,"AAAAAD9ef10=")</f>
        <v>#REF!</v>
      </c>
      <c r="CQ77" t="e">
        <f>AND(#REF!,"AAAAAD9ef14=")</f>
        <v>#REF!</v>
      </c>
      <c r="CR77" t="e">
        <f>IF(#REF!,"AAAAAD9ef18=",0)</f>
        <v>#REF!</v>
      </c>
      <c r="CS77" t="e">
        <f>AND(#REF!,"AAAAAD9ef2A=")</f>
        <v>#REF!</v>
      </c>
      <c r="CT77" t="e">
        <f>AND(#REF!,"AAAAAD9ef2E=")</f>
        <v>#REF!</v>
      </c>
      <c r="CU77" t="e">
        <f>AND(#REF!,"AAAAAD9ef2I=")</f>
        <v>#REF!</v>
      </c>
      <c r="CV77" t="e">
        <f>AND(#REF!,"AAAAAD9ef2M=")</f>
        <v>#REF!</v>
      </c>
      <c r="CW77" t="e">
        <f>AND(#REF!,"AAAAAD9ef2Q=")</f>
        <v>#REF!</v>
      </c>
      <c r="CX77" t="e">
        <f>AND(#REF!,"AAAAAD9ef2U=")</f>
        <v>#REF!</v>
      </c>
      <c r="CY77" t="e">
        <f>AND(#REF!,"AAAAAD9ef2Y=")</f>
        <v>#REF!</v>
      </c>
      <c r="CZ77" t="e">
        <f>AND(#REF!,"AAAAAD9ef2c=")</f>
        <v>#REF!</v>
      </c>
      <c r="DA77" t="e">
        <f>AND(#REF!,"AAAAAD9ef2g=")</f>
        <v>#REF!</v>
      </c>
      <c r="DB77" t="e">
        <f>AND(#REF!,"AAAAAD9ef2k=")</f>
        <v>#REF!</v>
      </c>
      <c r="DC77" t="e">
        <f>AND(#REF!,"AAAAAD9ef2o=")</f>
        <v>#REF!</v>
      </c>
      <c r="DD77" t="e">
        <f>AND(#REF!,"AAAAAD9ef2s=")</f>
        <v>#REF!</v>
      </c>
      <c r="DE77" t="e">
        <f>AND(#REF!,"AAAAAD9ef2w=")</f>
        <v>#REF!</v>
      </c>
      <c r="DF77" t="e">
        <f>AND(#REF!,"AAAAAD9ef20=")</f>
        <v>#REF!</v>
      </c>
      <c r="DG77" t="e">
        <f>IF(#REF!,"AAAAAD9ef24=",0)</f>
        <v>#REF!</v>
      </c>
      <c r="DH77" t="e">
        <f>AND(#REF!,"AAAAAD9ef28=")</f>
        <v>#REF!</v>
      </c>
      <c r="DI77" t="e">
        <f>AND(#REF!,"AAAAAD9ef3A=")</f>
        <v>#REF!</v>
      </c>
      <c r="DJ77" t="e">
        <f>AND(#REF!,"AAAAAD9ef3E=")</f>
        <v>#REF!</v>
      </c>
      <c r="DK77" t="e">
        <f>AND(#REF!,"AAAAAD9ef3I=")</f>
        <v>#REF!</v>
      </c>
      <c r="DL77" t="e">
        <f>AND(#REF!,"AAAAAD9ef3M=")</f>
        <v>#REF!</v>
      </c>
      <c r="DM77" t="e">
        <f>AND(#REF!,"AAAAAD9ef3Q=")</f>
        <v>#REF!</v>
      </c>
      <c r="DN77" t="e">
        <f>AND(#REF!,"AAAAAD9ef3U=")</f>
        <v>#REF!</v>
      </c>
      <c r="DO77" t="e">
        <f>AND(#REF!,"AAAAAD9ef3Y=")</f>
        <v>#REF!</v>
      </c>
      <c r="DP77" t="e">
        <f>AND(#REF!,"AAAAAD9ef3c=")</f>
        <v>#REF!</v>
      </c>
      <c r="DQ77" t="e">
        <f>AND(#REF!,"AAAAAD9ef3g=")</f>
        <v>#REF!</v>
      </c>
      <c r="DR77" t="e">
        <f>AND(#REF!,"AAAAAD9ef3k=")</f>
        <v>#REF!</v>
      </c>
      <c r="DS77" t="e">
        <f>AND(#REF!,"AAAAAD9ef3o=")</f>
        <v>#REF!</v>
      </c>
      <c r="DT77" t="e">
        <f>AND(#REF!,"AAAAAD9ef3s=")</f>
        <v>#REF!</v>
      </c>
      <c r="DU77" t="e">
        <f>AND(#REF!,"AAAAAD9ef3w=")</f>
        <v>#REF!</v>
      </c>
      <c r="DV77" t="e">
        <f>IF(#REF!,"AAAAAD9ef30=",0)</f>
        <v>#REF!</v>
      </c>
      <c r="DW77" t="e">
        <f>AND(#REF!,"AAAAAD9ef34=")</f>
        <v>#REF!</v>
      </c>
      <c r="DX77" t="e">
        <f>AND(#REF!,"AAAAAD9ef38=")</f>
        <v>#REF!</v>
      </c>
      <c r="DY77" t="e">
        <f>AND(#REF!,"AAAAAD9ef4A=")</f>
        <v>#REF!</v>
      </c>
      <c r="DZ77" t="e">
        <f>AND(#REF!,"AAAAAD9ef4E=")</f>
        <v>#REF!</v>
      </c>
      <c r="EA77" t="e">
        <f>AND(#REF!,"AAAAAD9ef4I=")</f>
        <v>#REF!</v>
      </c>
      <c r="EB77" t="e">
        <f>AND(#REF!,"AAAAAD9ef4M=")</f>
        <v>#REF!</v>
      </c>
      <c r="EC77" t="e">
        <f>AND(#REF!,"AAAAAD9ef4Q=")</f>
        <v>#REF!</v>
      </c>
      <c r="ED77" t="e">
        <f>AND(#REF!,"AAAAAD9ef4U=")</f>
        <v>#REF!</v>
      </c>
      <c r="EE77" t="e">
        <f>AND(#REF!,"AAAAAD9ef4Y=")</f>
        <v>#REF!</v>
      </c>
      <c r="EF77" t="e">
        <f>AND(#REF!,"AAAAAD9ef4c=")</f>
        <v>#REF!</v>
      </c>
      <c r="EG77" t="e">
        <f>AND(#REF!,"AAAAAD9ef4g=")</f>
        <v>#REF!</v>
      </c>
      <c r="EH77" t="e">
        <f>AND(#REF!,"AAAAAD9ef4k=")</f>
        <v>#REF!</v>
      </c>
      <c r="EI77" t="e">
        <f>AND(#REF!,"AAAAAD9ef4o=")</f>
        <v>#REF!</v>
      </c>
      <c r="EJ77" t="e">
        <f>AND(#REF!,"AAAAAD9ef4s=")</f>
        <v>#REF!</v>
      </c>
      <c r="EK77" t="e">
        <f>IF(#REF!,"AAAAAD9ef4w=",0)</f>
        <v>#REF!</v>
      </c>
      <c r="EL77" t="e">
        <f>AND(#REF!,"AAAAAD9ef40=")</f>
        <v>#REF!</v>
      </c>
      <c r="EM77" t="e">
        <f>AND(#REF!,"AAAAAD9ef44=")</f>
        <v>#REF!</v>
      </c>
      <c r="EN77" t="e">
        <f>AND(#REF!,"AAAAAD9ef48=")</f>
        <v>#REF!</v>
      </c>
      <c r="EO77" t="e">
        <f>AND(#REF!,"AAAAAD9ef5A=")</f>
        <v>#REF!</v>
      </c>
      <c r="EP77" t="e">
        <f>AND(#REF!,"AAAAAD9ef5E=")</f>
        <v>#REF!</v>
      </c>
      <c r="EQ77" t="e">
        <f>AND(#REF!,"AAAAAD9ef5I=")</f>
        <v>#REF!</v>
      </c>
      <c r="ER77" t="e">
        <f>AND(#REF!,"AAAAAD9ef5M=")</f>
        <v>#REF!</v>
      </c>
      <c r="ES77" t="e">
        <f>AND(#REF!,"AAAAAD9ef5Q=")</f>
        <v>#REF!</v>
      </c>
      <c r="ET77" t="e">
        <f>AND(#REF!,"AAAAAD9ef5U=")</f>
        <v>#REF!</v>
      </c>
      <c r="EU77" t="e">
        <f>AND(#REF!,"AAAAAD9ef5Y=")</f>
        <v>#REF!</v>
      </c>
      <c r="EV77" t="e">
        <f>AND(#REF!,"AAAAAD9ef5c=")</f>
        <v>#REF!</v>
      </c>
      <c r="EW77" t="e">
        <f>AND(#REF!,"AAAAAD9ef5g=")</f>
        <v>#REF!</v>
      </c>
      <c r="EX77" t="e">
        <f>AND(#REF!,"AAAAAD9ef5k=")</f>
        <v>#REF!</v>
      </c>
      <c r="EY77" t="e">
        <f>AND(#REF!,"AAAAAD9ef5o=")</f>
        <v>#REF!</v>
      </c>
      <c r="EZ77" t="e">
        <f>IF(#REF!,"AAAAAD9ef5s=",0)</f>
        <v>#REF!</v>
      </c>
      <c r="FA77" t="e">
        <f>AND(#REF!,"AAAAAD9ef5w=")</f>
        <v>#REF!</v>
      </c>
      <c r="FB77" t="e">
        <f>AND(#REF!,"AAAAAD9ef50=")</f>
        <v>#REF!</v>
      </c>
      <c r="FC77" t="e">
        <f>AND(#REF!,"AAAAAD9ef54=")</f>
        <v>#REF!</v>
      </c>
      <c r="FD77" t="e">
        <f>AND(#REF!,"AAAAAD9ef58=")</f>
        <v>#REF!</v>
      </c>
      <c r="FE77" t="e">
        <f>AND(#REF!,"AAAAAD9ef6A=")</f>
        <v>#REF!</v>
      </c>
      <c r="FF77" t="e">
        <f>AND(#REF!,"AAAAAD9ef6E=")</f>
        <v>#REF!</v>
      </c>
      <c r="FG77" t="e">
        <f>AND(#REF!,"AAAAAD9ef6I=")</f>
        <v>#REF!</v>
      </c>
      <c r="FH77" t="e">
        <f>AND(#REF!,"AAAAAD9ef6M=")</f>
        <v>#REF!</v>
      </c>
      <c r="FI77" t="e">
        <f>AND(#REF!,"AAAAAD9ef6Q=")</f>
        <v>#REF!</v>
      </c>
      <c r="FJ77" t="e">
        <f>AND(#REF!,"AAAAAD9ef6U=")</f>
        <v>#REF!</v>
      </c>
      <c r="FK77" t="e">
        <f>AND(#REF!,"AAAAAD9ef6Y=")</f>
        <v>#REF!</v>
      </c>
      <c r="FL77" t="e">
        <f>AND(#REF!,"AAAAAD9ef6c=")</f>
        <v>#REF!</v>
      </c>
      <c r="FM77" t="e">
        <f>AND(#REF!,"AAAAAD9ef6g=")</f>
        <v>#REF!</v>
      </c>
      <c r="FN77" t="e">
        <f>AND(#REF!,"AAAAAD9ef6k=")</f>
        <v>#REF!</v>
      </c>
      <c r="FO77" t="e">
        <f>IF(#REF!,"AAAAAD9ef6o=",0)</f>
        <v>#REF!</v>
      </c>
      <c r="FP77" t="e">
        <f>AND(#REF!,"AAAAAD9ef6s=")</f>
        <v>#REF!</v>
      </c>
      <c r="FQ77" t="e">
        <f>AND(#REF!,"AAAAAD9ef6w=")</f>
        <v>#REF!</v>
      </c>
      <c r="FR77" t="e">
        <f>AND(#REF!,"AAAAAD9ef60=")</f>
        <v>#REF!</v>
      </c>
      <c r="FS77" t="e">
        <f>AND(#REF!,"AAAAAD9ef64=")</f>
        <v>#REF!</v>
      </c>
      <c r="FT77" t="e">
        <f>AND(#REF!,"AAAAAD9ef68=")</f>
        <v>#REF!</v>
      </c>
      <c r="FU77" t="e">
        <f>AND(#REF!,"AAAAAD9ef7A=")</f>
        <v>#REF!</v>
      </c>
      <c r="FV77" t="e">
        <f>AND(#REF!,"AAAAAD9ef7E=")</f>
        <v>#REF!</v>
      </c>
      <c r="FW77" t="e">
        <f>AND(#REF!,"AAAAAD9ef7I=")</f>
        <v>#REF!</v>
      </c>
      <c r="FX77" t="e">
        <f>AND(#REF!,"AAAAAD9ef7M=")</f>
        <v>#REF!</v>
      </c>
      <c r="FY77" t="e">
        <f>AND(#REF!,"AAAAAD9ef7Q=")</f>
        <v>#REF!</v>
      </c>
      <c r="FZ77" t="e">
        <f>AND(#REF!,"AAAAAD9ef7U=")</f>
        <v>#REF!</v>
      </c>
      <c r="GA77" t="e">
        <f>AND(#REF!,"AAAAAD9ef7Y=")</f>
        <v>#REF!</v>
      </c>
      <c r="GB77" t="e">
        <f>AND(#REF!,"AAAAAD9ef7c=")</f>
        <v>#REF!</v>
      </c>
      <c r="GC77" t="e">
        <f>AND(#REF!,"AAAAAD9ef7g=")</f>
        <v>#REF!</v>
      </c>
      <c r="GD77" t="e">
        <f>IF(#REF!,"AAAAAD9ef7k=",0)</f>
        <v>#REF!</v>
      </c>
      <c r="GE77" t="e">
        <f>AND(#REF!,"AAAAAD9ef7o=")</f>
        <v>#REF!</v>
      </c>
      <c r="GF77" t="e">
        <f>AND(#REF!,"AAAAAD9ef7s=")</f>
        <v>#REF!</v>
      </c>
      <c r="GG77" t="e">
        <f>AND(#REF!,"AAAAAD9ef7w=")</f>
        <v>#REF!</v>
      </c>
      <c r="GH77" t="e">
        <f>AND(#REF!,"AAAAAD9ef70=")</f>
        <v>#REF!</v>
      </c>
      <c r="GI77" t="e">
        <f>AND(#REF!,"AAAAAD9ef74=")</f>
        <v>#REF!</v>
      </c>
      <c r="GJ77" t="e">
        <f>AND(#REF!,"AAAAAD9ef78=")</f>
        <v>#REF!</v>
      </c>
      <c r="GK77" t="e">
        <f>AND(#REF!,"AAAAAD9ef8A=")</f>
        <v>#REF!</v>
      </c>
      <c r="GL77" t="e">
        <f>AND(#REF!,"AAAAAD9ef8E=")</f>
        <v>#REF!</v>
      </c>
      <c r="GM77" t="e">
        <f>AND(#REF!,"AAAAAD9ef8I=")</f>
        <v>#REF!</v>
      </c>
      <c r="GN77" t="e">
        <f>AND(#REF!,"AAAAAD9ef8M=")</f>
        <v>#REF!</v>
      </c>
      <c r="GO77" t="e">
        <f>AND(#REF!,"AAAAAD9ef8Q=")</f>
        <v>#REF!</v>
      </c>
      <c r="GP77" t="e">
        <f>AND(#REF!,"AAAAAD9ef8U=")</f>
        <v>#REF!</v>
      </c>
      <c r="GQ77" t="e">
        <f>AND(#REF!,"AAAAAD9ef8Y=")</f>
        <v>#REF!</v>
      </c>
      <c r="GR77" t="e">
        <f>AND(#REF!,"AAAAAD9ef8c=")</f>
        <v>#REF!</v>
      </c>
      <c r="GS77" t="e">
        <f>IF(#REF!,"AAAAAD9ef8g=",0)</f>
        <v>#REF!</v>
      </c>
      <c r="GT77" t="e">
        <f>AND(#REF!,"AAAAAD9ef8k=")</f>
        <v>#REF!</v>
      </c>
      <c r="GU77" t="e">
        <f>AND(#REF!,"AAAAAD9ef8o=")</f>
        <v>#REF!</v>
      </c>
      <c r="GV77" t="e">
        <f>AND(#REF!,"AAAAAD9ef8s=")</f>
        <v>#REF!</v>
      </c>
      <c r="GW77" t="e">
        <f>AND(#REF!,"AAAAAD9ef8w=")</f>
        <v>#REF!</v>
      </c>
      <c r="GX77" t="e">
        <f>AND(#REF!,"AAAAAD9ef80=")</f>
        <v>#REF!</v>
      </c>
      <c r="GY77" t="e">
        <f>AND(#REF!,"AAAAAD9ef84=")</f>
        <v>#REF!</v>
      </c>
      <c r="GZ77" t="e">
        <f>AND(#REF!,"AAAAAD9ef88=")</f>
        <v>#REF!</v>
      </c>
      <c r="HA77" t="e">
        <f>AND(#REF!,"AAAAAD9ef9A=")</f>
        <v>#REF!</v>
      </c>
      <c r="HB77" t="e">
        <f>AND(#REF!,"AAAAAD9ef9E=")</f>
        <v>#REF!</v>
      </c>
      <c r="HC77" t="e">
        <f>AND(#REF!,"AAAAAD9ef9I=")</f>
        <v>#REF!</v>
      </c>
      <c r="HD77" t="e">
        <f>AND(#REF!,"AAAAAD9ef9M=")</f>
        <v>#REF!</v>
      </c>
      <c r="HE77" t="e">
        <f>AND(#REF!,"AAAAAD9ef9Q=")</f>
        <v>#REF!</v>
      </c>
      <c r="HF77" t="e">
        <f>AND(#REF!,"AAAAAD9ef9U=")</f>
        <v>#REF!</v>
      </c>
      <c r="HG77" t="e">
        <f>AND(#REF!,"AAAAAD9ef9Y=")</f>
        <v>#REF!</v>
      </c>
      <c r="HH77" t="e">
        <f>IF(#REF!,"AAAAAD9ef9c=",0)</f>
        <v>#REF!</v>
      </c>
      <c r="HI77" t="e">
        <f>AND(#REF!,"AAAAAD9ef9g=")</f>
        <v>#REF!</v>
      </c>
      <c r="HJ77" t="e">
        <f>AND(#REF!,"AAAAAD9ef9k=")</f>
        <v>#REF!</v>
      </c>
      <c r="HK77" t="e">
        <f>AND(#REF!,"AAAAAD9ef9o=")</f>
        <v>#REF!</v>
      </c>
      <c r="HL77" t="e">
        <f>AND(#REF!,"AAAAAD9ef9s=")</f>
        <v>#REF!</v>
      </c>
      <c r="HM77" t="e">
        <f>AND(#REF!,"AAAAAD9ef9w=")</f>
        <v>#REF!</v>
      </c>
      <c r="HN77" t="e">
        <f>AND(#REF!,"AAAAAD9ef90=")</f>
        <v>#REF!</v>
      </c>
      <c r="HO77" t="e">
        <f>AND(#REF!,"AAAAAD9ef94=")</f>
        <v>#REF!</v>
      </c>
      <c r="HP77" t="e">
        <f>AND(#REF!,"AAAAAD9ef98=")</f>
        <v>#REF!</v>
      </c>
      <c r="HQ77" t="e">
        <f>AND(#REF!,"AAAAAD9ef+A=")</f>
        <v>#REF!</v>
      </c>
      <c r="HR77" t="e">
        <f>AND(#REF!,"AAAAAD9ef+E=")</f>
        <v>#REF!</v>
      </c>
      <c r="HS77" t="e">
        <f>AND(#REF!,"AAAAAD9ef+I=")</f>
        <v>#REF!</v>
      </c>
      <c r="HT77" t="e">
        <f>AND(#REF!,"AAAAAD9ef+M=")</f>
        <v>#REF!</v>
      </c>
      <c r="HU77" t="e">
        <f>AND(#REF!,"AAAAAD9ef+Q=")</f>
        <v>#REF!</v>
      </c>
      <c r="HV77" t="e">
        <f>AND(#REF!,"AAAAAD9ef+U=")</f>
        <v>#REF!</v>
      </c>
      <c r="HW77" t="e">
        <f>IF(#REF!,"AAAAAD9ef+Y=",0)</f>
        <v>#REF!</v>
      </c>
      <c r="HX77" t="e">
        <f>AND(#REF!,"AAAAAD9ef+c=")</f>
        <v>#REF!</v>
      </c>
      <c r="HY77" t="e">
        <f>AND(#REF!,"AAAAAD9ef+g=")</f>
        <v>#REF!</v>
      </c>
      <c r="HZ77" t="e">
        <f>AND(#REF!,"AAAAAD9ef+k=")</f>
        <v>#REF!</v>
      </c>
      <c r="IA77" t="e">
        <f>AND(#REF!,"AAAAAD9ef+o=")</f>
        <v>#REF!</v>
      </c>
      <c r="IB77" t="e">
        <f>AND(#REF!,"AAAAAD9ef+s=")</f>
        <v>#REF!</v>
      </c>
      <c r="IC77" t="e">
        <f>AND(#REF!,"AAAAAD9ef+w=")</f>
        <v>#REF!</v>
      </c>
      <c r="ID77" t="e">
        <f>AND(#REF!,"AAAAAD9ef+0=")</f>
        <v>#REF!</v>
      </c>
      <c r="IE77" t="e">
        <f>AND(#REF!,"AAAAAD9ef+4=")</f>
        <v>#REF!</v>
      </c>
      <c r="IF77" t="e">
        <f>AND(#REF!,"AAAAAD9ef+8=")</f>
        <v>#REF!</v>
      </c>
      <c r="IG77" t="e">
        <f>AND(#REF!,"AAAAAD9ef/A=")</f>
        <v>#REF!</v>
      </c>
      <c r="IH77" t="e">
        <f>AND(#REF!,"AAAAAD9ef/E=")</f>
        <v>#REF!</v>
      </c>
      <c r="II77" t="e">
        <f>AND(#REF!,"AAAAAD9ef/I=")</f>
        <v>#REF!</v>
      </c>
      <c r="IJ77" t="e">
        <f>AND(#REF!,"AAAAAD9ef/M=")</f>
        <v>#REF!</v>
      </c>
      <c r="IK77" t="e">
        <f>AND(#REF!,"AAAAAD9ef/Q=")</f>
        <v>#REF!</v>
      </c>
      <c r="IL77" t="e">
        <f>IF(#REF!,"AAAAAD9ef/U=",0)</f>
        <v>#REF!</v>
      </c>
      <c r="IM77" t="e">
        <f>AND(#REF!,"AAAAAD9ef/Y=")</f>
        <v>#REF!</v>
      </c>
      <c r="IN77" t="e">
        <f>AND(#REF!,"AAAAAD9ef/c=")</f>
        <v>#REF!</v>
      </c>
      <c r="IO77" t="e">
        <f>AND(#REF!,"AAAAAD9ef/g=")</f>
        <v>#REF!</v>
      </c>
      <c r="IP77" t="e">
        <f>AND(#REF!,"AAAAAD9ef/k=")</f>
        <v>#REF!</v>
      </c>
      <c r="IQ77" t="e">
        <f>AND(#REF!,"AAAAAD9ef/o=")</f>
        <v>#REF!</v>
      </c>
      <c r="IR77" t="e">
        <f>AND(#REF!,"AAAAAD9ef/s=")</f>
        <v>#REF!</v>
      </c>
      <c r="IS77" t="e">
        <f>AND(#REF!,"AAAAAD9ef/w=")</f>
        <v>#REF!</v>
      </c>
      <c r="IT77" t="e">
        <f>AND(#REF!,"AAAAAD9ef/0=")</f>
        <v>#REF!</v>
      </c>
      <c r="IU77" t="e">
        <f>AND(#REF!,"AAAAAD9ef/4=")</f>
        <v>#REF!</v>
      </c>
      <c r="IV77" t="e">
        <f>AND(#REF!,"AAAAAD9ef/8=")</f>
        <v>#REF!</v>
      </c>
    </row>
    <row r="78" spans="1:256" x14ac:dyDescent="0.15">
      <c r="A78" t="e">
        <f>AND(#REF!,"AAAAADy3fQA=")</f>
        <v>#REF!</v>
      </c>
      <c r="B78" t="e">
        <f>AND(#REF!,"AAAAADy3fQE=")</f>
        <v>#REF!</v>
      </c>
      <c r="C78" t="e">
        <f>AND(#REF!,"AAAAADy3fQI=")</f>
        <v>#REF!</v>
      </c>
      <c r="D78" t="e">
        <f>AND(#REF!,"AAAAADy3fQM=")</f>
        <v>#REF!</v>
      </c>
      <c r="E78" t="e">
        <f>IF(#REF!,"AAAAADy3fQQ=",0)</f>
        <v>#REF!</v>
      </c>
      <c r="F78" t="e">
        <f>AND(#REF!,"AAAAADy3fQU=")</f>
        <v>#REF!</v>
      </c>
      <c r="G78" t="e">
        <f>AND(#REF!,"AAAAADy3fQY=")</f>
        <v>#REF!</v>
      </c>
      <c r="H78" t="e">
        <f>AND(#REF!,"AAAAADy3fQc=")</f>
        <v>#REF!</v>
      </c>
      <c r="I78" t="e">
        <f>AND(#REF!,"AAAAADy3fQg=")</f>
        <v>#REF!</v>
      </c>
      <c r="J78" t="e">
        <f>AND(#REF!,"AAAAADy3fQk=")</f>
        <v>#REF!</v>
      </c>
      <c r="K78" t="e">
        <f>AND(#REF!,"AAAAADy3fQo=")</f>
        <v>#REF!</v>
      </c>
      <c r="L78" t="e">
        <f>AND(#REF!,"AAAAADy3fQs=")</f>
        <v>#REF!</v>
      </c>
      <c r="M78" t="e">
        <f>AND(#REF!,"AAAAADy3fQw=")</f>
        <v>#REF!</v>
      </c>
      <c r="N78" t="e">
        <f>AND(#REF!,"AAAAADy3fQ0=")</f>
        <v>#REF!</v>
      </c>
      <c r="O78" t="e">
        <f>AND(#REF!,"AAAAADy3fQ4=")</f>
        <v>#REF!</v>
      </c>
      <c r="P78" t="e">
        <f>AND(#REF!,"AAAAADy3fQ8=")</f>
        <v>#REF!</v>
      </c>
      <c r="Q78" t="e">
        <f>AND(#REF!,"AAAAADy3fRA=")</f>
        <v>#REF!</v>
      </c>
      <c r="R78" t="e">
        <f>AND(#REF!,"AAAAADy3fRE=")</f>
        <v>#REF!</v>
      </c>
      <c r="S78" t="e">
        <f>AND(#REF!,"AAAAADy3fRI=")</f>
        <v>#REF!</v>
      </c>
      <c r="T78" t="e">
        <f>IF(#REF!,"AAAAADy3fRM=",0)</f>
        <v>#REF!</v>
      </c>
      <c r="U78" t="e">
        <f>AND(#REF!,"AAAAADy3fRQ=")</f>
        <v>#REF!</v>
      </c>
      <c r="V78" t="e">
        <f>AND(#REF!,"AAAAADy3fRU=")</f>
        <v>#REF!</v>
      </c>
      <c r="W78" t="e">
        <f>AND(#REF!,"AAAAADy3fRY=")</f>
        <v>#REF!</v>
      </c>
      <c r="X78" t="e">
        <f>AND(#REF!,"AAAAADy3fRc=")</f>
        <v>#REF!</v>
      </c>
      <c r="Y78" t="e">
        <f>AND(#REF!,"AAAAADy3fRg=")</f>
        <v>#REF!</v>
      </c>
      <c r="Z78" t="e">
        <f>AND(#REF!,"AAAAADy3fRk=")</f>
        <v>#REF!</v>
      </c>
      <c r="AA78" t="e">
        <f>AND(#REF!,"AAAAADy3fRo=")</f>
        <v>#REF!</v>
      </c>
      <c r="AB78" t="e">
        <f>AND(#REF!,"AAAAADy3fRs=")</f>
        <v>#REF!</v>
      </c>
      <c r="AC78" t="e">
        <f>AND(#REF!,"AAAAADy3fRw=")</f>
        <v>#REF!</v>
      </c>
      <c r="AD78" t="e">
        <f>AND(#REF!,"AAAAADy3fR0=")</f>
        <v>#REF!</v>
      </c>
      <c r="AE78" t="e">
        <f>AND(#REF!,"AAAAADy3fR4=")</f>
        <v>#REF!</v>
      </c>
      <c r="AF78" t="e">
        <f>AND(#REF!,"AAAAADy3fR8=")</f>
        <v>#REF!</v>
      </c>
      <c r="AG78" t="e">
        <f>AND(#REF!,"AAAAADy3fSA=")</f>
        <v>#REF!</v>
      </c>
      <c r="AH78" t="e">
        <f>AND(#REF!,"AAAAADy3fSE=")</f>
        <v>#REF!</v>
      </c>
      <c r="AI78" t="e">
        <f>IF(#REF!,"AAAAADy3fSI=",0)</f>
        <v>#REF!</v>
      </c>
      <c r="AJ78" t="e">
        <f>AND(#REF!,"AAAAADy3fSM=")</f>
        <v>#REF!</v>
      </c>
      <c r="AK78" t="e">
        <f>AND(#REF!,"AAAAADy3fSQ=")</f>
        <v>#REF!</v>
      </c>
      <c r="AL78" t="e">
        <f>AND(#REF!,"AAAAADy3fSU=")</f>
        <v>#REF!</v>
      </c>
      <c r="AM78" t="e">
        <f>AND(#REF!,"AAAAADy3fSY=")</f>
        <v>#REF!</v>
      </c>
      <c r="AN78" t="e">
        <f>AND(#REF!,"AAAAADy3fSc=")</f>
        <v>#REF!</v>
      </c>
      <c r="AO78" t="e">
        <f>AND(#REF!,"AAAAADy3fSg=")</f>
        <v>#REF!</v>
      </c>
      <c r="AP78" t="e">
        <f>AND(#REF!,"AAAAADy3fSk=")</f>
        <v>#REF!</v>
      </c>
      <c r="AQ78" t="e">
        <f>AND(#REF!,"AAAAADy3fSo=")</f>
        <v>#REF!</v>
      </c>
      <c r="AR78" t="e">
        <f>AND(#REF!,"AAAAADy3fSs=")</f>
        <v>#REF!</v>
      </c>
      <c r="AS78" t="e">
        <f>AND(#REF!,"AAAAADy3fSw=")</f>
        <v>#REF!</v>
      </c>
      <c r="AT78" t="e">
        <f>AND(#REF!,"AAAAADy3fS0=")</f>
        <v>#REF!</v>
      </c>
      <c r="AU78" t="e">
        <f>AND(#REF!,"AAAAADy3fS4=")</f>
        <v>#REF!</v>
      </c>
      <c r="AV78" t="e">
        <f>AND(#REF!,"AAAAADy3fS8=")</f>
        <v>#REF!</v>
      </c>
      <c r="AW78" t="e">
        <f>AND(#REF!,"AAAAADy3fTA=")</f>
        <v>#REF!</v>
      </c>
      <c r="AX78" t="e">
        <f>IF(#REF!,"AAAAADy3fTE=",0)</f>
        <v>#REF!</v>
      </c>
      <c r="AY78" t="e">
        <f>AND(#REF!,"AAAAADy3fTI=")</f>
        <v>#REF!</v>
      </c>
      <c r="AZ78" t="e">
        <f>AND(#REF!,"AAAAADy3fTM=")</f>
        <v>#REF!</v>
      </c>
      <c r="BA78" t="e">
        <f>AND(#REF!,"AAAAADy3fTQ=")</f>
        <v>#REF!</v>
      </c>
      <c r="BB78" t="e">
        <f>AND(#REF!,"AAAAADy3fTU=")</f>
        <v>#REF!</v>
      </c>
      <c r="BC78" t="e">
        <f>AND(#REF!,"AAAAADy3fTY=")</f>
        <v>#REF!</v>
      </c>
      <c r="BD78" t="e">
        <f>AND(#REF!,"AAAAADy3fTc=")</f>
        <v>#REF!</v>
      </c>
      <c r="BE78" t="e">
        <f>AND(#REF!,"AAAAADy3fTg=")</f>
        <v>#REF!</v>
      </c>
      <c r="BF78" t="e">
        <f>AND(#REF!,"AAAAADy3fTk=")</f>
        <v>#REF!</v>
      </c>
      <c r="BG78" t="e">
        <f>AND(#REF!,"AAAAADy3fTo=")</f>
        <v>#REF!</v>
      </c>
      <c r="BH78" t="e">
        <f>AND(#REF!,"AAAAADy3fTs=")</f>
        <v>#REF!</v>
      </c>
      <c r="BI78" t="e">
        <f>AND(#REF!,"AAAAADy3fTw=")</f>
        <v>#REF!</v>
      </c>
      <c r="BJ78" t="e">
        <f>AND(#REF!,"AAAAADy3fT0=")</f>
        <v>#REF!</v>
      </c>
      <c r="BK78" t="e">
        <f>AND(#REF!,"AAAAADy3fT4=")</f>
        <v>#REF!</v>
      </c>
      <c r="BL78" t="e">
        <f>AND(#REF!,"AAAAADy3fT8=")</f>
        <v>#REF!</v>
      </c>
      <c r="BM78" t="e">
        <f>IF(#REF!,"AAAAADy3fUA=",0)</f>
        <v>#REF!</v>
      </c>
      <c r="BN78" t="e">
        <f>AND(#REF!,"AAAAADy3fUE=")</f>
        <v>#REF!</v>
      </c>
      <c r="BO78" t="e">
        <f>AND(#REF!,"AAAAADy3fUI=")</f>
        <v>#REF!</v>
      </c>
      <c r="BP78" t="e">
        <f>AND(#REF!,"AAAAADy3fUM=")</f>
        <v>#REF!</v>
      </c>
      <c r="BQ78" t="e">
        <f>AND(#REF!,"AAAAADy3fUQ=")</f>
        <v>#REF!</v>
      </c>
      <c r="BR78" t="e">
        <f>AND(#REF!,"AAAAADy3fUU=")</f>
        <v>#REF!</v>
      </c>
      <c r="BS78" t="e">
        <f>AND(#REF!,"AAAAADy3fUY=")</f>
        <v>#REF!</v>
      </c>
      <c r="BT78" t="e">
        <f>AND(#REF!,"AAAAADy3fUc=")</f>
        <v>#REF!</v>
      </c>
      <c r="BU78" t="e">
        <f>AND(#REF!,"AAAAADy3fUg=")</f>
        <v>#REF!</v>
      </c>
      <c r="BV78" t="e">
        <f>AND(#REF!,"AAAAADy3fUk=")</f>
        <v>#REF!</v>
      </c>
      <c r="BW78" t="e">
        <f>AND(#REF!,"AAAAADy3fUo=")</f>
        <v>#REF!</v>
      </c>
      <c r="BX78" t="e">
        <f>AND(#REF!,"AAAAADy3fUs=")</f>
        <v>#REF!</v>
      </c>
      <c r="BY78" t="e">
        <f>AND(#REF!,"AAAAADy3fUw=")</f>
        <v>#REF!</v>
      </c>
      <c r="BZ78" t="e">
        <f>AND(#REF!,"AAAAADy3fU0=")</f>
        <v>#REF!</v>
      </c>
      <c r="CA78" t="e">
        <f>AND(#REF!,"AAAAADy3fU4=")</f>
        <v>#REF!</v>
      </c>
      <c r="CB78" t="e">
        <f>IF(#REF!,"AAAAADy3fU8=",0)</f>
        <v>#REF!</v>
      </c>
      <c r="CC78" t="e">
        <f>AND(#REF!,"AAAAADy3fVA=")</f>
        <v>#REF!</v>
      </c>
      <c r="CD78" t="e">
        <f>AND(#REF!,"AAAAADy3fVE=")</f>
        <v>#REF!</v>
      </c>
      <c r="CE78" t="e">
        <f>AND(#REF!,"AAAAADy3fVI=")</f>
        <v>#REF!</v>
      </c>
      <c r="CF78" t="e">
        <f>AND(#REF!,"AAAAADy3fVM=")</f>
        <v>#REF!</v>
      </c>
      <c r="CG78" t="e">
        <f>AND(#REF!,"AAAAADy3fVQ=")</f>
        <v>#REF!</v>
      </c>
      <c r="CH78" t="e">
        <f>AND(#REF!,"AAAAADy3fVU=")</f>
        <v>#REF!</v>
      </c>
      <c r="CI78" t="e">
        <f>AND(#REF!,"AAAAADy3fVY=")</f>
        <v>#REF!</v>
      </c>
      <c r="CJ78" t="e">
        <f>AND(#REF!,"AAAAADy3fVc=")</f>
        <v>#REF!</v>
      </c>
      <c r="CK78" t="e">
        <f>AND(#REF!,"AAAAADy3fVg=")</f>
        <v>#REF!</v>
      </c>
      <c r="CL78" t="e">
        <f>AND(#REF!,"AAAAADy3fVk=")</f>
        <v>#REF!</v>
      </c>
      <c r="CM78" t="e">
        <f>AND(#REF!,"AAAAADy3fVo=")</f>
        <v>#REF!</v>
      </c>
      <c r="CN78" t="e">
        <f>AND(#REF!,"AAAAADy3fVs=")</f>
        <v>#REF!</v>
      </c>
      <c r="CO78" t="e">
        <f>AND(#REF!,"AAAAADy3fVw=")</f>
        <v>#REF!</v>
      </c>
      <c r="CP78" t="e">
        <f>AND(#REF!,"AAAAADy3fV0=")</f>
        <v>#REF!</v>
      </c>
      <c r="CQ78" t="e">
        <f>IF(#REF!,"AAAAADy3fV4=",0)</f>
        <v>#REF!</v>
      </c>
      <c r="CR78" t="e">
        <f>AND(#REF!,"AAAAADy3fV8=")</f>
        <v>#REF!</v>
      </c>
      <c r="CS78" t="e">
        <f>AND(#REF!,"AAAAADy3fWA=")</f>
        <v>#REF!</v>
      </c>
      <c r="CT78" t="e">
        <f>AND(#REF!,"AAAAADy3fWE=")</f>
        <v>#REF!</v>
      </c>
      <c r="CU78" t="e">
        <f>AND(#REF!,"AAAAADy3fWI=")</f>
        <v>#REF!</v>
      </c>
      <c r="CV78" t="e">
        <f>AND(#REF!,"AAAAADy3fWM=")</f>
        <v>#REF!</v>
      </c>
      <c r="CW78" t="e">
        <f>AND(#REF!,"AAAAADy3fWQ=")</f>
        <v>#REF!</v>
      </c>
      <c r="CX78" t="e">
        <f>AND(#REF!,"AAAAADy3fWU=")</f>
        <v>#REF!</v>
      </c>
      <c r="CY78" t="e">
        <f>AND(#REF!,"AAAAADy3fWY=")</f>
        <v>#REF!</v>
      </c>
      <c r="CZ78" t="e">
        <f>AND(#REF!,"AAAAADy3fWc=")</f>
        <v>#REF!</v>
      </c>
      <c r="DA78" t="e">
        <f>AND(#REF!,"AAAAADy3fWg=")</f>
        <v>#REF!</v>
      </c>
      <c r="DB78" t="e">
        <f>AND(#REF!,"AAAAADy3fWk=")</f>
        <v>#REF!</v>
      </c>
      <c r="DC78" t="e">
        <f>AND(#REF!,"AAAAADy3fWo=")</f>
        <v>#REF!</v>
      </c>
      <c r="DD78" t="e">
        <f>AND(#REF!,"AAAAADy3fWs=")</f>
        <v>#REF!</v>
      </c>
      <c r="DE78" t="e">
        <f>AND(#REF!,"AAAAADy3fWw=")</f>
        <v>#REF!</v>
      </c>
      <c r="DF78" t="e">
        <f>IF(#REF!,"AAAAADy3fW0=",0)</f>
        <v>#REF!</v>
      </c>
      <c r="DG78" t="e">
        <f>AND(#REF!,"AAAAADy3fW4=")</f>
        <v>#REF!</v>
      </c>
      <c r="DH78" t="e">
        <f>AND(#REF!,"AAAAADy3fW8=")</f>
        <v>#REF!</v>
      </c>
      <c r="DI78" t="e">
        <f>AND(#REF!,"AAAAADy3fXA=")</f>
        <v>#REF!</v>
      </c>
      <c r="DJ78" t="e">
        <f>AND(#REF!,"AAAAADy3fXE=")</f>
        <v>#REF!</v>
      </c>
      <c r="DK78" t="e">
        <f>AND(#REF!,"AAAAADy3fXI=")</f>
        <v>#REF!</v>
      </c>
      <c r="DL78" t="e">
        <f>AND(#REF!,"AAAAADy3fXM=")</f>
        <v>#REF!</v>
      </c>
      <c r="DM78" t="e">
        <f>AND(#REF!,"AAAAADy3fXQ=")</f>
        <v>#REF!</v>
      </c>
      <c r="DN78" t="e">
        <f>AND(#REF!,"AAAAADy3fXU=")</f>
        <v>#REF!</v>
      </c>
      <c r="DO78" t="e">
        <f>AND(#REF!,"AAAAADy3fXY=")</f>
        <v>#REF!</v>
      </c>
      <c r="DP78" t="e">
        <f>AND(#REF!,"AAAAADy3fXc=")</f>
        <v>#REF!</v>
      </c>
      <c r="DQ78" t="e">
        <f>AND(#REF!,"AAAAADy3fXg=")</f>
        <v>#REF!</v>
      </c>
      <c r="DR78" t="e">
        <f>AND(#REF!,"AAAAADy3fXk=")</f>
        <v>#REF!</v>
      </c>
      <c r="DS78" t="e">
        <f>AND(#REF!,"AAAAADy3fXo=")</f>
        <v>#REF!</v>
      </c>
      <c r="DT78" t="e">
        <f>AND(#REF!,"AAAAADy3fXs=")</f>
        <v>#REF!</v>
      </c>
      <c r="DU78" t="e">
        <f>IF(#REF!,"AAAAADy3fXw=",0)</f>
        <v>#REF!</v>
      </c>
      <c r="DV78" t="e">
        <f>AND(#REF!,"AAAAADy3fX0=")</f>
        <v>#REF!</v>
      </c>
      <c r="DW78" t="e">
        <f>AND(#REF!,"AAAAADy3fX4=")</f>
        <v>#REF!</v>
      </c>
      <c r="DX78" t="e">
        <f>AND(#REF!,"AAAAADy3fX8=")</f>
        <v>#REF!</v>
      </c>
      <c r="DY78" t="e">
        <f>AND(#REF!,"AAAAADy3fYA=")</f>
        <v>#REF!</v>
      </c>
      <c r="DZ78" t="e">
        <f>AND(#REF!,"AAAAADy3fYE=")</f>
        <v>#REF!</v>
      </c>
      <c r="EA78" t="e">
        <f>AND(#REF!,"AAAAADy3fYI=")</f>
        <v>#REF!</v>
      </c>
      <c r="EB78" t="e">
        <f>AND(#REF!,"AAAAADy3fYM=")</f>
        <v>#REF!</v>
      </c>
      <c r="EC78" t="e">
        <f>AND(#REF!,"AAAAADy3fYQ=")</f>
        <v>#REF!</v>
      </c>
      <c r="ED78" t="e">
        <f>AND(#REF!,"AAAAADy3fYU=")</f>
        <v>#REF!</v>
      </c>
      <c r="EE78" t="e">
        <f>AND(#REF!,"AAAAADy3fYY=")</f>
        <v>#REF!</v>
      </c>
      <c r="EF78" t="e">
        <f>AND(#REF!,"AAAAADy3fYc=")</f>
        <v>#REF!</v>
      </c>
      <c r="EG78" t="e">
        <f>AND(#REF!,"AAAAADy3fYg=")</f>
        <v>#REF!</v>
      </c>
      <c r="EH78" t="e">
        <f>AND(#REF!,"AAAAADy3fYk=")</f>
        <v>#REF!</v>
      </c>
      <c r="EI78" t="e">
        <f>AND(#REF!,"AAAAADy3fYo=")</f>
        <v>#REF!</v>
      </c>
      <c r="EJ78" t="e">
        <f>IF(#REF!,"AAAAADy3fYs=",0)</f>
        <v>#REF!</v>
      </c>
      <c r="EK78" t="e">
        <f>AND(#REF!,"AAAAADy3fYw=")</f>
        <v>#REF!</v>
      </c>
      <c r="EL78" t="e">
        <f>AND(#REF!,"AAAAADy3fY0=")</f>
        <v>#REF!</v>
      </c>
      <c r="EM78" t="e">
        <f>AND(#REF!,"AAAAADy3fY4=")</f>
        <v>#REF!</v>
      </c>
      <c r="EN78" t="e">
        <f>AND(#REF!,"AAAAADy3fY8=")</f>
        <v>#REF!</v>
      </c>
      <c r="EO78" t="e">
        <f>AND(#REF!,"AAAAADy3fZA=")</f>
        <v>#REF!</v>
      </c>
      <c r="EP78" t="e">
        <f>AND(#REF!,"AAAAADy3fZE=")</f>
        <v>#REF!</v>
      </c>
      <c r="EQ78" t="e">
        <f>AND(#REF!,"AAAAADy3fZI=")</f>
        <v>#REF!</v>
      </c>
      <c r="ER78" t="e">
        <f>AND(#REF!,"AAAAADy3fZM=")</f>
        <v>#REF!</v>
      </c>
      <c r="ES78" t="e">
        <f>AND(#REF!,"AAAAADy3fZQ=")</f>
        <v>#REF!</v>
      </c>
      <c r="ET78" t="e">
        <f>AND(#REF!,"AAAAADy3fZU=")</f>
        <v>#REF!</v>
      </c>
      <c r="EU78" t="e">
        <f>AND(#REF!,"AAAAADy3fZY=")</f>
        <v>#REF!</v>
      </c>
      <c r="EV78" t="e">
        <f>AND(#REF!,"AAAAADy3fZc=")</f>
        <v>#REF!</v>
      </c>
      <c r="EW78" t="e">
        <f>AND(#REF!,"AAAAADy3fZg=")</f>
        <v>#REF!</v>
      </c>
      <c r="EX78" t="e">
        <f>AND(#REF!,"AAAAADy3fZk=")</f>
        <v>#REF!</v>
      </c>
      <c r="EY78" t="e">
        <f>IF(#REF!,"AAAAADy3fZo=",0)</f>
        <v>#REF!</v>
      </c>
      <c r="EZ78" t="e">
        <f>AND(#REF!,"AAAAADy3fZs=")</f>
        <v>#REF!</v>
      </c>
      <c r="FA78" t="e">
        <f>AND(#REF!,"AAAAADy3fZw=")</f>
        <v>#REF!</v>
      </c>
      <c r="FB78" t="e">
        <f>AND(#REF!,"AAAAADy3fZ0=")</f>
        <v>#REF!</v>
      </c>
      <c r="FC78" t="e">
        <f>AND(#REF!,"AAAAADy3fZ4=")</f>
        <v>#REF!</v>
      </c>
      <c r="FD78" t="e">
        <f>AND(#REF!,"AAAAADy3fZ8=")</f>
        <v>#REF!</v>
      </c>
      <c r="FE78" t="e">
        <f>AND(#REF!,"AAAAADy3faA=")</f>
        <v>#REF!</v>
      </c>
      <c r="FF78" t="e">
        <f>AND(#REF!,"AAAAADy3faE=")</f>
        <v>#REF!</v>
      </c>
      <c r="FG78" t="e">
        <f>AND(#REF!,"AAAAADy3faI=")</f>
        <v>#REF!</v>
      </c>
      <c r="FH78" t="e">
        <f>AND(#REF!,"AAAAADy3faM=")</f>
        <v>#REF!</v>
      </c>
      <c r="FI78" t="e">
        <f>AND(#REF!,"AAAAADy3faQ=")</f>
        <v>#REF!</v>
      </c>
      <c r="FJ78" t="e">
        <f>AND(#REF!,"AAAAADy3faU=")</f>
        <v>#REF!</v>
      </c>
      <c r="FK78" t="e">
        <f>AND(#REF!,"AAAAADy3faY=")</f>
        <v>#REF!</v>
      </c>
      <c r="FL78" t="e">
        <f>AND(#REF!,"AAAAADy3fac=")</f>
        <v>#REF!</v>
      </c>
      <c r="FM78" t="e">
        <f>AND(#REF!,"AAAAADy3fag=")</f>
        <v>#REF!</v>
      </c>
      <c r="FN78" t="e">
        <f>IF(#REF!,"AAAAADy3fak=",0)</f>
        <v>#REF!</v>
      </c>
      <c r="FO78" t="e">
        <f>AND(#REF!,"AAAAADy3fao=")</f>
        <v>#REF!</v>
      </c>
      <c r="FP78" t="e">
        <f>AND(#REF!,"AAAAADy3fas=")</f>
        <v>#REF!</v>
      </c>
      <c r="FQ78" t="e">
        <f>AND(#REF!,"AAAAADy3faw=")</f>
        <v>#REF!</v>
      </c>
      <c r="FR78" t="e">
        <f>AND(#REF!,"AAAAADy3fa0=")</f>
        <v>#REF!</v>
      </c>
      <c r="FS78" t="e">
        <f>AND(#REF!,"AAAAADy3fa4=")</f>
        <v>#REF!</v>
      </c>
      <c r="FT78" t="e">
        <f>AND(#REF!,"AAAAADy3fa8=")</f>
        <v>#REF!</v>
      </c>
      <c r="FU78" t="e">
        <f>AND(#REF!,"AAAAADy3fbA=")</f>
        <v>#REF!</v>
      </c>
      <c r="FV78" t="e">
        <f>AND(#REF!,"AAAAADy3fbE=")</f>
        <v>#REF!</v>
      </c>
      <c r="FW78" t="e">
        <f>AND(#REF!,"AAAAADy3fbI=")</f>
        <v>#REF!</v>
      </c>
      <c r="FX78" t="e">
        <f>AND(#REF!,"AAAAADy3fbM=")</f>
        <v>#REF!</v>
      </c>
      <c r="FY78" t="e">
        <f>AND(#REF!,"AAAAADy3fbQ=")</f>
        <v>#REF!</v>
      </c>
      <c r="FZ78" t="e">
        <f>AND(#REF!,"AAAAADy3fbU=")</f>
        <v>#REF!</v>
      </c>
      <c r="GA78" t="e">
        <f>AND(#REF!,"AAAAADy3fbY=")</f>
        <v>#REF!</v>
      </c>
      <c r="GB78" t="e">
        <f>AND(#REF!,"AAAAADy3fbc=")</f>
        <v>#REF!</v>
      </c>
      <c r="GC78" t="e">
        <f>IF(#REF!,"AAAAADy3fbg=",0)</f>
        <v>#REF!</v>
      </c>
      <c r="GD78" t="e">
        <f>AND(#REF!,"AAAAADy3fbk=")</f>
        <v>#REF!</v>
      </c>
      <c r="GE78" t="e">
        <f>AND(#REF!,"AAAAADy3fbo=")</f>
        <v>#REF!</v>
      </c>
      <c r="GF78" t="e">
        <f>AND(#REF!,"AAAAADy3fbs=")</f>
        <v>#REF!</v>
      </c>
      <c r="GG78" t="e">
        <f>AND(#REF!,"AAAAADy3fbw=")</f>
        <v>#REF!</v>
      </c>
      <c r="GH78" t="e">
        <f>AND(#REF!,"AAAAADy3fb0=")</f>
        <v>#REF!</v>
      </c>
      <c r="GI78" t="e">
        <f>AND(#REF!,"AAAAADy3fb4=")</f>
        <v>#REF!</v>
      </c>
      <c r="GJ78" t="e">
        <f>AND(#REF!,"AAAAADy3fb8=")</f>
        <v>#REF!</v>
      </c>
      <c r="GK78" t="e">
        <f>AND(#REF!,"AAAAADy3fcA=")</f>
        <v>#REF!</v>
      </c>
      <c r="GL78" t="e">
        <f>AND(#REF!,"AAAAADy3fcE=")</f>
        <v>#REF!</v>
      </c>
      <c r="GM78" t="e">
        <f>AND(#REF!,"AAAAADy3fcI=")</f>
        <v>#REF!</v>
      </c>
      <c r="GN78" t="e">
        <f>AND(#REF!,"AAAAADy3fcM=")</f>
        <v>#REF!</v>
      </c>
      <c r="GO78" t="e">
        <f>AND(#REF!,"AAAAADy3fcQ=")</f>
        <v>#REF!</v>
      </c>
      <c r="GP78" t="e">
        <f>AND(#REF!,"AAAAADy3fcU=")</f>
        <v>#REF!</v>
      </c>
      <c r="GQ78" t="e">
        <f>AND(#REF!,"AAAAADy3fcY=")</f>
        <v>#REF!</v>
      </c>
      <c r="GR78" t="e">
        <f>IF(#REF!,"AAAAADy3fcc=",0)</f>
        <v>#REF!</v>
      </c>
      <c r="GS78" t="e">
        <f>AND(#REF!,"AAAAADy3fcg=")</f>
        <v>#REF!</v>
      </c>
      <c r="GT78" t="e">
        <f>AND(#REF!,"AAAAADy3fck=")</f>
        <v>#REF!</v>
      </c>
      <c r="GU78" t="e">
        <f>AND(#REF!,"AAAAADy3fco=")</f>
        <v>#REF!</v>
      </c>
      <c r="GV78" t="e">
        <f>AND(#REF!,"AAAAADy3fcs=")</f>
        <v>#REF!</v>
      </c>
      <c r="GW78" t="e">
        <f>AND(#REF!,"AAAAADy3fcw=")</f>
        <v>#REF!</v>
      </c>
      <c r="GX78" t="e">
        <f>AND(#REF!,"AAAAADy3fc0=")</f>
        <v>#REF!</v>
      </c>
      <c r="GY78" t="e">
        <f>AND(#REF!,"AAAAADy3fc4=")</f>
        <v>#REF!</v>
      </c>
      <c r="GZ78" t="e">
        <f>AND(#REF!,"AAAAADy3fc8=")</f>
        <v>#REF!</v>
      </c>
      <c r="HA78" t="e">
        <f>AND(#REF!,"AAAAADy3fdA=")</f>
        <v>#REF!</v>
      </c>
      <c r="HB78" t="e">
        <f>AND(#REF!,"AAAAADy3fdE=")</f>
        <v>#REF!</v>
      </c>
      <c r="HC78" t="e">
        <f>AND(#REF!,"AAAAADy3fdI=")</f>
        <v>#REF!</v>
      </c>
      <c r="HD78" t="e">
        <f>AND(#REF!,"AAAAADy3fdM=")</f>
        <v>#REF!</v>
      </c>
      <c r="HE78" t="e">
        <f>AND(#REF!,"AAAAADy3fdQ=")</f>
        <v>#REF!</v>
      </c>
      <c r="HF78" t="e">
        <f>AND(#REF!,"AAAAADy3fdU=")</f>
        <v>#REF!</v>
      </c>
      <c r="HG78" t="e">
        <f>IF(#REF!,"AAAAADy3fdY=",0)</f>
        <v>#REF!</v>
      </c>
      <c r="HH78" t="e">
        <f>AND(#REF!,"AAAAADy3fdc=")</f>
        <v>#REF!</v>
      </c>
      <c r="HI78" t="e">
        <f>AND(#REF!,"AAAAADy3fdg=")</f>
        <v>#REF!</v>
      </c>
      <c r="HJ78" t="e">
        <f>AND(#REF!,"AAAAADy3fdk=")</f>
        <v>#REF!</v>
      </c>
      <c r="HK78" t="e">
        <f>AND(#REF!,"AAAAADy3fdo=")</f>
        <v>#REF!</v>
      </c>
      <c r="HL78" t="e">
        <f>AND(#REF!,"AAAAADy3fds=")</f>
        <v>#REF!</v>
      </c>
      <c r="HM78" t="e">
        <f>AND(#REF!,"AAAAADy3fdw=")</f>
        <v>#REF!</v>
      </c>
      <c r="HN78" t="e">
        <f>AND(#REF!,"AAAAADy3fd0=")</f>
        <v>#REF!</v>
      </c>
      <c r="HO78" t="e">
        <f>AND(#REF!,"AAAAADy3fd4=")</f>
        <v>#REF!</v>
      </c>
      <c r="HP78" t="e">
        <f>AND(#REF!,"AAAAADy3fd8=")</f>
        <v>#REF!</v>
      </c>
      <c r="HQ78" t="e">
        <f>AND(#REF!,"AAAAADy3feA=")</f>
        <v>#REF!</v>
      </c>
      <c r="HR78" t="e">
        <f>AND(#REF!,"AAAAADy3feE=")</f>
        <v>#REF!</v>
      </c>
      <c r="HS78" t="e">
        <f>AND(#REF!,"AAAAADy3feI=")</f>
        <v>#REF!</v>
      </c>
      <c r="HT78" t="e">
        <f>AND(#REF!,"AAAAADy3feM=")</f>
        <v>#REF!</v>
      </c>
      <c r="HU78" t="e">
        <f>AND(#REF!,"AAAAADy3feQ=")</f>
        <v>#REF!</v>
      </c>
      <c r="HV78" t="e">
        <f>IF(#REF!,"AAAAADy3feU=",0)</f>
        <v>#REF!</v>
      </c>
      <c r="HW78" t="e">
        <f>AND(#REF!,"AAAAADy3feY=")</f>
        <v>#REF!</v>
      </c>
      <c r="HX78" t="e">
        <f>AND(#REF!,"AAAAADy3fec=")</f>
        <v>#REF!</v>
      </c>
      <c r="HY78" t="e">
        <f>AND(#REF!,"AAAAADy3feg=")</f>
        <v>#REF!</v>
      </c>
      <c r="HZ78" t="e">
        <f>AND(#REF!,"AAAAADy3fek=")</f>
        <v>#REF!</v>
      </c>
      <c r="IA78" t="e">
        <f>AND(#REF!,"AAAAADy3feo=")</f>
        <v>#REF!</v>
      </c>
      <c r="IB78" t="e">
        <f>AND(#REF!,"AAAAADy3fes=")</f>
        <v>#REF!</v>
      </c>
      <c r="IC78" t="e">
        <f>AND(#REF!,"AAAAADy3few=")</f>
        <v>#REF!</v>
      </c>
      <c r="ID78" t="e">
        <f>AND(#REF!,"AAAAADy3fe0=")</f>
        <v>#REF!</v>
      </c>
      <c r="IE78" t="e">
        <f>AND(#REF!,"AAAAADy3fe4=")</f>
        <v>#REF!</v>
      </c>
      <c r="IF78" t="e">
        <f>AND(#REF!,"AAAAADy3fe8=")</f>
        <v>#REF!</v>
      </c>
      <c r="IG78" t="e">
        <f>AND(#REF!,"AAAAADy3ffA=")</f>
        <v>#REF!</v>
      </c>
      <c r="IH78" t="e">
        <f>AND(#REF!,"AAAAADy3ffE=")</f>
        <v>#REF!</v>
      </c>
      <c r="II78" t="e">
        <f>AND(#REF!,"AAAAADy3ffI=")</f>
        <v>#REF!</v>
      </c>
      <c r="IJ78" t="e">
        <f>AND(#REF!,"AAAAADy3ffM=")</f>
        <v>#REF!</v>
      </c>
      <c r="IK78" t="e">
        <f>IF(#REF!,"AAAAADy3ffQ=",0)</f>
        <v>#REF!</v>
      </c>
      <c r="IL78" t="e">
        <f>AND(#REF!,"AAAAADy3ffU=")</f>
        <v>#REF!</v>
      </c>
      <c r="IM78" t="e">
        <f>AND(#REF!,"AAAAADy3ffY=")</f>
        <v>#REF!</v>
      </c>
      <c r="IN78" t="e">
        <f>AND(#REF!,"AAAAADy3ffc=")</f>
        <v>#REF!</v>
      </c>
      <c r="IO78" t="e">
        <f>AND(#REF!,"AAAAADy3ffg=")</f>
        <v>#REF!</v>
      </c>
      <c r="IP78" t="e">
        <f>AND(#REF!,"AAAAADy3ffk=")</f>
        <v>#REF!</v>
      </c>
      <c r="IQ78" t="e">
        <f>AND(#REF!,"AAAAADy3ffo=")</f>
        <v>#REF!</v>
      </c>
      <c r="IR78" t="e">
        <f>AND(#REF!,"AAAAADy3ffs=")</f>
        <v>#REF!</v>
      </c>
      <c r="IS78" t="e">
        <f>AND(#REF!,"AAAAADy3ffw=")</f>
        <v>#REF!</v>
      </c>
      <c r="IT78" t="e">
        <f>AND(#REF!,"AAAAADy3ff0=")</f>
        <v>#REF!</v>
      </c>
      <c r="IU78" t="e">
        <f>AND(#REF!,"AAAAADy3ff4=")</f>
        <v>#REF!</v>
      </c>
      <c r="IV78" t="e">
        <f>AND(#REF!,"AAAAADy3ff8=")</f>
        <v>#REF!</v>
      </c>
    </row>
    <row r="79" spans="1:256" x14ac:dyDescent="0.15">
      <c r="A79" t="e">
        <f>AND(#REF!,"AAAAADq+ywA=")</f>
        <v>#REF!</v>
      </c>
      <c r="B79" t="e">
        <f>AND(#REF!,"AAAAADq+ywE=")</f>
        <v>#REF!</v>
      </c>
      <c r="C79" t="e">
        <f>AND(#REF!,"AAAAADq+ywI=")</f>
        <v>#REF!</v>
      </c>
      <c r="D79" t="e">
        <f>IF(#REF!,"AAAAADq+ywM=",0)</f>
        <v>#REF!</v>
      </c>
      <c r="E79" t="e">
        <f>AND(#REF!,"AAAAADq+ywQ=")</f>
        <v>#REF!</v>
      </c>
      <c r="F79" t="e">
        <f>AND(#REF!,"AAAAADq+ywU=")</f>
        <v>#REF!</v>
      </c>
      <c r="G79" t="e">
        <f>AND(#REF!,"AAAAADq+ywY=")</f>
        <v>#REF!</v>
      </c>
      <c r="H79" t="e">
        <f>AND(#REF!,"AAAAADq+ywc=")</f>
        <v>#REF!</v>
      </c>
      <c r="I79" t="e">
        <f>AND(#REF!,"AAAAADq+ywg=")</f>
        <v>#REF!</v>
      </c>
      <c r="J79" t="e">
        <f>AND(#REF!,"AAAAADq+ywk=")</f>
        <v>#REF!</v>
      </c>
      <c r="K79" t="e">
        <f>AND(#REF!,"AAAAADq+ywo=")</f>
        <v>#REF!</v>
      </c>
      <c r="L79" t="e">
        <f>AND(#REF!,"AAAAADq+yws=")</f>
        <v>#REF!</v>
      </c>
      <c r="M79" t="e">
        <f>AND(#REF!,"AAAAADq+yww=")</f>
        <v>#REF!</v>
      </c>
      <c r="N79" t="e">
        <f>AND(#REF!,"AAAAADq+yw0=")</f>
        <v>#REF!</v>
      </c>
      <c r="O79" t="e">
        <f>AND(#REF!,"AAAAADq+yw4=")</f>
        <v>#REF!</v>
      </c>
      <c r="P79" t="e">
        <f>AND(#REF!,"AAAAADq+yw8=")</f>
        <v>#REF!</v>
      </c>
      <c r="Q79" t="e">
        <f>AND(#REF!,"AAAAADq+yxA=")</f>
        <v>#REF!</v>
      </c>
      <c r="R79" t="e">
        <f>AND(#REF!,"AAAAADq+yxE=")</f>
        <v>#REF!</v>
      </c>
      <c r="S79" t="e">
        <f>IF(#REF!,"AAAAADq+yxI=",0)</f>
        <v>#REF!</v>
      </c>
      <c r="T79" t="e">
        <f>AND(#REF!,"AAAAADq+yxM=")</f>
        <v>#REF!</v>
      </c>
      <c r="U79" t="e">
        <f>AND(#REF!,"AAAAADq+yxQ=")</f>
        <v>#REF!</v>
      </c>
      <c r="V79" t="e">
        <f>AND(#REF!,"AAAAADq+yxU=")</f>
        <v>#REF!</v>
      </c>
      <c r="W79" t="e">
        <f>AND(#REF!,"AAAAADq+yxY=")</f>
        <v>#REF!</v>
      </c>
      <c r="X79" t="e">
        <f>AND(#REF!,"AAAAADq+yxc=")</f>
        <v>#REF!</v>
      </c>
      <c r="Y79" t="e">
        <f>AND(#REF!,"AAAAADq+yxg=")</f>
        <v>#REF!</v>
      </c>
      <c r="Z79" t="e">
        <f>AND(#REF!,"AAAAADq+yxk=")</f>
        <v>#REF!</v>
      </c>
      <c r="AA79" t="e">
        <f>AND(#REF!,"AAAAADq+yxo=")</f>
        <v>#REF!</v>
      </c>
      <c r="AB79" t="e">
        <f>AND(#REF!,"AAAAADq+yxs=")</f>
        <v>#REF!</v>
      </c>
      <c r="AC79" t="e">
        <f>AND(#REF!,"AAAAADq+yxw=")</f>
        <v>#REF!</v>
      </c>
      <c r="AD79" t="e">
        <f>AND(#REF!,"AAAAADq+yx0=")</f>
        <v>#REF!</v>
      </c>
      <c r="AE79" t="e">
        <f>AND(#REF!,"AAAAADq+yx4=")</f>
        <v>#REF!</v>
      </c>
      <c r="AF79" t="e">
        <f>AND(#REF!,"AAAAADq+yx8=")</f>
        <v>#REF!</v>
      </c>
      <c r="AG79" t="e">
        <f>AND(#REF!,"AAAAADq+yyA=")</f>
        <v>#REF!</v>
      </c>
      <c r="AH79" t="e">
        <f>IF(#REF!,"AAAAADq+yyE=",0)</f>
        <v>#REF!</v>
      </c>
      <c r="AI79" t="e">
        <f>AND(#REF!,"AAAAADq+yyI=")</f>
        <v>#REF!</v>
      </c>
      <c r="AJ79" t="e">
        <f>AND(#REF!,"AAAAADq+yyM=")</f>
        <v>#REF!</v>
      </c>
      <c r="AK79" t="e">
        <f>AND(#REF!,"AAAAADq+yyQ=")</f>
        <v>#REF!</v>
      </c>
      <c r="AL79" t="e">
        <f>AND(#REF!,"AAAAADq+yyU=")</f>
        <v>#REF!</v>
      </c>
      <c r="AM79" t="e">
        <f>AND(#REF!,"AAAAADq+yyY=")</f>
        <v>#REF!</v>
      </c>
      <c r="AN79" t="e">
        <f>AND(#REF!,"AAAAADq+yyc=")</f>
        <v>#REF!</v>
      </c>
      <c r="AO79" t="e">
        <f>AND(#REF!,"AAAAADq+yyg=")</f>
        <v>#REF!</v>
      </c>
      <c r="AP79" t="e">
        <f>AND(#REF!,"AAAAADq+yyk=")</f>
        <v>#REF!</v>
      </c>
      <c r="AQ79" t="e">
        <f>AND(#REF!,"AAAAADq+yyo=")</f>
        <v>#REF!</v>
      </c>
      <c r="AR79" t="e">
        <f>AND(#REF!,"AAAAADq+yys=")</f>
        <v>#REF!</v>
      </c>
      <c r="AS79" t="e">
        <f>AND(#REF!,"AAAAADq+yyw=")</f>
        <v>#REF!</v>
      </c>
      <c r="AT79" t="e">
        <f>AND(#REF!,"AAAAADq+yy0=")</f>
        <v>#REF!</v>
      </c>
      <c r="AU79" t="e">
        <f>AND(#REF!,"AAAAADq+yy4=")</f>
        <v>#REF!</v>
      </c>
      <c r="AV79" t="e">
        <f>AND(#REF!,"AAAAADq+yy8=")</f>
        <v>#REF!</v>
      </c>
      <c r="AW79" t="e">
        <f>IF(#REF!,"AAAAADq+yzA=",0)</f>
        <v>#REF!</v>
      </c>
      <c r="AX79" t="e">
        <f>AND(#REF!,"AAAAADq+yzE=")</f>
        <v>#REF!</v>
      </c>
      <c r="AY79" t="e">
        <f>AND(#REF!,"AAAAADq+yzI=")</f>
        <v>#REF!</v>
      </c>
      <c r="AZ79" t="e">
        <f>AND(#REF!,"AAAAADq+yzM=")</f>
        <v>#REF!</v>
      </c>
      <c r="BA79" t="e">
        <f>AND(#REF!,"AAAAADq+yzQ=")</f>
        <v>#REF!</v>
      </c>
      <c r="BB79" t="e">
        <f>AND(#REF!,"AAAAADq+yzU=")</f>
        <v>#REF!</v>
      </c>
      <c r="BC79" t="e">
        <f>AND(#REF!,"AAAAADq+yzY=")</f>
        <v>#REF!</v>
      </c>
      <c r="BD79" t="e">
        <f>AND(#REF!,"AAAAADq+yzc=")</f>
        <v>#REF!</v>
      </c>
      <c r="BE79" t="e">
        <f>AND(#REF!,"AAAAADq+yzg=")</f>
        <v>#REF!</v>
      </c>
      <c r="BF79" t="e">
        <f>AND(#REF!,"AAAAADq+yzk=")</f>
        <v>#REF!</v>
      </c>
      <c r="BG79" t="e">
        <f>AND(#REF!,"AAAAADq+yzo=")</f>
        <v>#REF!</v>
      </c>
      <c r="BH79" t="e">
        <f>AND(#REF!,"AAAAADq+yzs=")</f>
        <v>#REF!</v>
      </c>
      <c r="BI79" t="e">
        <f>AND(#REF!,"AAAAADq+yzw=")</f>
        <v>#REF!</v>
      </c>
      <c r="BJ79" t="e">
        <f>AND(#REF!,"AAAAADq+yz0=")</f>
        <v>#REF!</v>
      </c>
      <c r="BK79" t="e">
        <f>AND(#REF!,"AAAAADq+yz4=")</f>
        <v>#REF!</v>
      </c>
      <c r="BL79" t="e">
        <f>IF(#REF!,"AAAAADq+yz8=",0)</f>
        <v>#REF!</v>
      </c>
      <c r="BM79" t="e">
        <f>AND(#REF!,"AAAAADq+y0A=")</f>
        <v>#REF!</v>
      </c>
      <c r="BN79" t="e">
        <f>AND(#REF!,"AAAAADq+y0E=")</f>
        <v>#REF!</v>
      </c>
      <c r="BO79" t="e">
        <f>AND(#REF!,"AAAAADq+y0I=")</f>
        <v>#REF!</v>
      </c>
      <c r="BP79" t="e">
        <f>AND(#REF!,"AAAAADq+y0M=")</f>
        <v>#REF!</v>
      </c>
      <c r="BQ79" t="e">
        <f>AND(#REF!,"AAAAADq+y0Q=")</f>
        <v>#REF!</v>
      </c>
      <c r="BR79" t="e">
        <f>AND(#REF!,"AAAAADq+y0U=")</f>
        <v>#REF!</v>
      </c>
      <c r="BS79" t="e">
        <f>AND(#REF!,"AAAAADq+y0Y=")</f>
        <v>#REF!</v>
      </c>
      <c r="BT79" t="e">
        <f>AND(#REF!,"AAAAADq+y0c=")</f>
        <v>#REF!</v>
      </c>
      <c r="BU79" t="e">
        <f>AND(#REF!,"AAAAADq+y0g=")</f>
        <v>#REF!</v>
      </c>
      <c r="BV79" t="e">
        <f>AND(#REF!,"AAAAADq+y0k=")</f>
        <v>#REF!</v>
      </c>
      <c r="BW79" t="e">
        <f>AND(#REF!,"AAAAADq+y0o=")</f>
        <v>#REF!</v>
      </c>
      <c r="BX79" t="e">
        <f>AND(#REF!,"AAAAADq+y0s=")</f>
        <v>#REF!</v>
      </c>
      <c r="BY79" t="e">
        <f>AND(#REF!,"AAAAADq+y0w=")</f>
        <v>#REF!</v>
      </c>
      <c r="BZ79" t="e">
        <f>AND(#REF!,"AAAAADq+y00=")</f>
        <v>#REF!</v>
      </c>
      <c r="CA79" t="e">
        <f>IF(#REF!,"AAAAADq+y04=",0)</f>
        <v>#REF!</v>
      </c>
      <c r="CB79" t="e">
        <f>AND(#REF!,"AAAAADq+y08=")</f>
        <v>#REF!</v>
      </c>
      <c r="CC79" t="e">
        <f>AND(#REF!,"AAAAADq+y1A=")</f>
        <v>#REF!</v>
      </c>
      <c r="CD79" t="e">
        <f>AND(#REF!,"AAAAADq+y1E=")</f>
        <v>#REF!</v>
      </c>
      <c r="CE79" t="e">
        <f>AND(#REF!,"AAAAADq+y1I=")</f>
        <v>#REF!</v>
      </c>
      <c r="CF79" t="e">
        <f>AND(#REF!,"AAAAADq+y1M=")</f>
        <v>#REF!</v>
      </c>
      <c r="CG79" t="e">
        <f>AND(#REF!,"AAAAADq+y1Q=")</f>
        <v>#REF!</v>
      </c>
      <c r="CH79" t="e">
        <f>AND(#REF!,"AAAAADq+y1U=")</f>
        <v>#REF!</v>
      </c>
      <c r="CI79" t="e">
        <f>AND(#REF!,"AAAAADq+y1Y=")</f>
        <v>#REF!</v>
      </c>
      <c r="CJ79" t="e">
        <f>AND(#REF!,"AAAAADq+y1c=")</f>
        <v>#REF!</v>
      </c>
      <c r="CK79" t="e">
        <f>AND(#REF!,"AAAAADq+y1g=")</f>
        <v>#REF!</v>
      </c>
      <c r="CL79" t="e">
        <f>AND(#REF!,"AAAAADq+y1k=")</f>
        <v>#REF!</v>
      </c>
      <c r="CM79" t="e">
        <f>AND(#REF!,"AAAAADq+y1o=")</f>
        <v>#REF!</v>
      </c>
      <c r="CN79" t="e">
        <f>AND(#REF!,"AAAAADq+y1s=")</f>
        <v>#REF!</v>
      </c>
      <c r="CO79" t="e">
        <f>AND(#REF!,"AAAAADq+y1w=")</f>
        <v>#REF!</v>
      </c>
      <c r="CP79" t="e">
        <f>IF(#REF!,"AAAAADq+y10=",0)</f>
        <v>#REF!</v>
      </c>
      <c r="CQ79" t="e">
        <f>AND(#REF!,"AAAAADq+y14=")</f>
        <v>#REF!</v>
      </c>
      <c r="CR79" t="e">
        <f>AND(#REF!,"AAAAADq+y18=")</f>
        <v>#REF!</v>
      </c>
      <c r="CS79" t="e">
        <f>AND(#REF!,"AAAAADq+y2A=")</f>
        <v>#REF!</v>
      </c>
      <c r="CT79" t="e">
        <f>AND(#REF!,"AAAAADq+y2E=")</f>
        <v>#REF!</v>
      </c>
      <c r="CU79" t="e">
        <f>AND(#REF!,"AAAAADq+y2I=")</f>
        <v>#REF!</v>
      </c>
      <c r="CV79" t="e">
        <f>AND(#REF!,"AAAAADq+y2M=")</f>
        <v>#REF!</v>
      </c>
      <c r="CW79" t="e">
        <f>AND(#REF!,"AAAAADq+y2Q=")</f>
        <v>#REF!</v>
      </c>
      <c r="CX79" t="e">
        <f>AND(#REF!,"AAAAADq+y2U=")</f>
        <v>#REF!</v>
      </c>
      <c r="CY79" t="e">
        <f>AND(#REF!,"AAAAADq+y2Y=")</f>
        <v>#REF!</v>
      </c>
      <c r="CZ79" t="e">
        <f>AND(#REF!,"AAAAADq+y2c=")</f>
        <v>#REF!</v>
      </c>
      <c r="DA79" t="e">
        <f>AND(#REF!,"AAAAADq+y2g=")</f>
        <v>#REF!</v>
      </c>
      <c r="DB79" t="e">
        <f>AND(#REF!,"AAAAADq+y2k=")</f>
        <v>#REF!</v>
      </c>
      <c r="DC79" t="e">
        <f>AND(#REF!,"AAAAADq+y2o=")</f>
        <v>#REF!</v>
      </c>
      <c r="DD79" t="e">
        <f>AND(#REF!,"AAAAADq+y2s=")</f>
        <v>#REF!</v>
      </c>
      <c r="DE79" t="e">
        <f>IF(#REF!,"AAAAADq+y2w=",0)</f>
        <v>#REF!</v>
      </c>
      <c r="DF79" t="e">
        <f>AND(#REF!,"AAAAADq+y20=")</f>
        <v>#REF!</v>
      </c>
      <c r="DG79" t="e">
        <f>AND(#REF!,"AAAAADq+y24=")</f>
        <v>#REF!</v>
      </c>
      <c r="DH79" t="e">
        <f>AND(#REF!,"AAAAADq+y28=")</f>
        <v>#REF!</v>
      </c>
      <c r="DI79" t="e">
        <f>AND(#REF!,"AAAAADq+y3A=")</f>
        <v>#REF!</v>
      </c>
      <c r="DJ79" t="e">
        <f>AND(#REF!,"AAAAADq+y3E=")</f>
        <v>#REF!</v>
      </c>
      <c r="DK79" t="e">
        <f>AND(#REF!,"AAAAADq+y3I=")</f>
        <v>#REF!</v>
      </c>
      <c r="DL79" t="e">
        <f>AND(#REF!,"AAAAADq+y3M=")</f>
        <v>#REF!</v>
      </c>
      <c r="DM79" t="e">
        <f>AND(#REF!,"AAAAADq+y3Q=")</f>
        <v>#REF!</v>
      </c>
      <c r="DN79" t="e">
        <f>AND(#REF!,"AAAAADq+y3U=")</f>
        <v>#REF!</v>
      </c>
      <c r="DO79" t="e">
        <f>AND(#REF!,"AAAAADq+y3Y=")</f>
        <v>#REF!</v>
      </c>
      <c r="DP79" t="e">
        <f>AND(#REF!,"AAAAADq+y3c=")</f>
        <v>#REF!</v>
      </c>
      <c r="DQ79" t="e">
        <f>AND(#REF!,"AAAAADq+y3g=")</f>
        <v>#REF!</v>
      </c>
      <c r="DR79" t="e">
        <f>AND(#REF!,"AAAAADq+y3k=")</f>
        <v>#REF!</v>
      </c>
      <c r="DS79" t="e">
        <f>AND(#REF!,"AAAAADq+y3o=")</f>
        <v>#REF!</v>
      </c>
      <c r="DT79" t="e">
        <f>IF(#REF!,"AAAAADq+y3s=",0)</f>
        <v>#REF!</v>
      </c>
      <c r="DU79" t="e">
        <f>AND(#REF!,"AAAAADq+y3w=")</f>
        <v>#REF!</v>
      </c>
      <c r="DV79" t="e">
        <f>AND(#REF!,"AAAAADq+y30=")</f>
        <v>#REF!</v>
      </c>
      <c r="DW79" t="e">
        <f>AND(#REF!,"AAAAADq+y34=")</f>
        <v>#REF!</v>
      </c>
      <c r="DX79" t="e">
        <f>AND(#REF!,"AAAAADq+y38=")</f>
        <v>#REF!</v>
      </c>
      <c r="DY79" t="e">
        <f>AND(#REF!,"AAAAADq+y4A=")</f>
        <v>#REF!</v>
      </c>
      <c r="DZ79" t="e">
        <f>AND(#REF!,"AAAAADq+y4E=")</f>
        <v>#REF!</v>
      </c>
      <c r="EA79" t="e">
        <f>AND(#REF!,"AAAAADq+y4I=")</f>
        <v>#REF!</v>
      </c>
      <c r="EB79" t="e">
        <f>AND(#REF!,"AAAAADq+y4M=")</f>
        <v>#REF!</v>
      </c>
      <c r="EC79" t="e">
        <f>AND(#REF!,"AAAAADq+y4Q=")</f>
        <v>#REF!</v>
      </c>
      <c r="ED79" t="e">
        <f>AND(#REF!,"AAAAADq+y4U=")</f>
        <v>#REF!</v>
      </c>
      <c r="EE79" t="e">
        <f>AND(#REF!,"AAAAADq+y4Y=")</f>
        <v>#REF!</v>
      </c>
      <c r="EF79" t="e">
        <f>AND(#REF!,"AAAAADq+y4c=")</f>
        <v>#REF!</v>
      </c>
      <c r="EG79" t="e">
        <f>AND(#REF!,"AAAAADq+y4g=")</f>
        <v>#REF!</v>
      </c>
      <c r="EH79" t="e">
        <f>AND(#REF!,"AAAAADq+y4k=")</f>
        <v>#REF!</v>
      </c>
      <c r="EI79" t="e">
        <f>IF(#REF!,"AAAAADq+y4o=",0)</f>
        <v>#REF!</v>
      </c>
      <c r="EJ79" t="e">
        <f>AND(#REF!,"AAAAADq+y4s=")</f>
        <v>#REF!</v>
      </c>
      <c r="EK79" t="e">
        <f>AND(#REF!,"AAAAADq+y4w=")</f>
        <v>#REF!</v>
      </c>
      <c r="EL79" t="e">
        <f>AND(#REF!,"AAAAADq+y40=")</f>
        <v>#REF!</v>
      </c>
      <c r="EM79" t="e">
        <f>AND(#REF!,"AAAAADq+y44=")</f>
        <v>#REF!</v>
      </c>
      <c r="EN79" t="e">
        <f>AND(#REF!,"AAAAADq+y48=")</f>
        <v>#REF!</v>
      </c>
      <c r="EO79" t="e">
        <f>AND(#REF!,"AAAAADq+y5A=")</f>
        <v>#REF!</v>
      </c>
      <c r="EP79" t="e">
        <f>AND(#REF!,"AAAAADq+y5E=")</f>
        <v>#REF!</v>
      </c>
      <c r="EQ79" t="e">
        <f>AND(#REF!,"AAAAADq+y5I=")</f>
        <v>#REF!</v>
      </c>
      <c r="ER79" t="e">
        <f>AND(#REF!,"AAAAADq+y5M=")</f>
        <v>#REF!</v>
      </c>
      <c r="ES79" t="e">
        <f>AND(#REF!,"AAAAADq+y5Q=")</f>
        <v>#REF!</v>
      </c>
      <c r="ET79" t="e">
        <f>AND(#REF!,"AAAAADq+y5U=")</f>
        <v>#REF!</v>
      </c>
      <c r="EU79" t="e">
        <f>AND(#REF!,"AAAAADq+y5Y=")</f>
        <v>#REF!</v>
      </c>
      <c r="EV79" t="e">
        <f>AND(#REF!,"AAAAADq+y5c=")</f>
        <v>#REF!</v>
      </c>
      <c r="EW79" t="e">
        <f>AND(#REF!,"AAAAADq+y5g=")</f>
        <v>#REF!</v>
      </c>
      <c r="EX79" t="e">
        <f>IF(#REF!,"AAAAADq+y5k=",0)</f>
        <v>#REF!</v>
      </c>
      <c r="EY79" t="e">
        <f>AND(#REF!,"AAAAADq+y5o=")</f>
        <v>#REF!</v>
      </c>
      <c r="EZ79" t="e">
        <f>AND(#REF!,"AAAAADq+y5s=")</f>
        <v>#REF!</v>
      </c>
      <c r="FA79" t="e">
        <f>AND(#REF!,"AAAAADq+y5w=")</f>
        <v>#REF!</v>
      </c>
      <c r="FB79" t="e">
        <f>AND(#REF!,"AAAAADq+y50=")</f>
        <v>#REF!</v>
      </c>
      <c r="FC79" t="e">
        <f>AND(#REF!,"AAAAADq+y54=")</f>
        <v>#REF!</v>
      </c>
      <c r="FD79" t="e">
        <f>AND(#REF!,"AAAAADq+y58=")</f>
        <v>#REF!</v>
      </c>
      <c r="FE79" t="e">
        <f>AND(#REF!,"AAAAADq+y6A=")</f>
        <v>#REF!</v>
      </c>
      <c r="FF79" t="e">
        <f>AND(#REF!,"AAAAADq+y6E=")</f>
        <v>#REF!</v>
      </c>
      <c r="FG79" t="e">
        <f>AND(#REF!,"AAAAADq+y6I=")</f>
        <v>#REF!</v>
      </c>
      <c r="FH79" t="e">
        <f>AND(#REF!,"AAAAADq+y6M=")</f>
        <v>#REF!</v>
      </c>
      <c r="FI79" t="e">
        <f>AND(#REF!,"AAAAADq+y6Q=")</f>
        <v>#REF!</v>
      </c>
      <c r="FJ79" t="e">
        <f>AND(#REF!,"AAAAADq+y6U=")</f>
        <v>#REF!</v>
      </c>
      <c r="FK79" t="e">
        <f>AND(#REF!,"AAAAADq+y6Y=")</f>
        <v>#REF!</v>
      </c>
      <c r="FL79" t="e">
        <f>AND(#REF!,"AAAAADq+y6c=")</f>
        <v>#REF!</v>
      </c>
      <c r="FM79" t="e">
        <f>IF(#REF!,"AAAAADq+y6g=",0)</f>
        <v>#REF!</v>
      </c>
      <c r="FN79" t="e">
        <f>AND(#REF!,"AAAAADq+y6k=")</f>
        <v>#REF!</v>
      </c>
      <c r="FO79" t="e">
        <f>AND(#REF!,"AAAAADq+y6o=")</f>
        <v>#REF!</v>
      </c>
      <c r="FP79" t="e">
        <f>AND(#REF!,"AAAAADq+y6s=")</f>
        <v>#REF!</v>
      </c>
      <c r="FQ79" t="e">
        <f>AND(#REF!,"AAAAADq+y6w=")</f>
        <v>#REF!</v>
      </c>
      <c r="FR79" t="e">
        <f>AND(#REF!,"AAAAADq+y60=")</f>
        <v>#REF!</v>
      </c>
      <c r="FS79" t="e">
        <f>AND(#REF!,"AAAAADq+y64=")</f>
        <v>#REF!</v>
      </c>
      <c r="FT79" t="e">
        <f>AND(#REF!,"AAAAADq+y68=")</f>
        <v>#REF!</v>
      </c>
      <c r="FU79" t="e">
        <f>AND(#REF!,"AAAAADq+y7A=")</f>
        <v>#REF!</v>
      </c>
      <c r="FV79" t="e">
        <f>AND(#REF!,"AAAAADq+y7E=")</f>
        <v>#REF!</v>
      </c>
      <c r="FW79" t="e">
        <f>AND(#REF!,"AAAAADq+y7I=")</f>
        <v>#REF!</v>
      </c>
      <c r="FX79" t="e">
        <f>AND(#REF!,"AAAAADq+y7M=")</f>
        <v>#REF!</v>
      </c>
      <c r="FY79" t="e">
        <f>AND(#REF!,"AAAAADq+y7Q=")</f>
        <v>#REF!</v>
      </c>
      <c r="FZ79" t="e">
        <f>AND(#REF!,"AAAAADq+y7U=")</f>
        <v>#REF!</v>
      </c>
      <c r="GA79" t="e">
        <f>AND(#REF!,"AAAAADq+y7Y=")</f>
        <v>#REF!</v>
      </c>
      <c r="GB79" t="e">
        <f>IF(#REF!,"AAAAADq+y7c=",0)</f>
        <v>#REF!</v>
      </c>
      <c r="GC79" t="e">
        <f>AND(#REF!,"AAAAADq+y7g=")</f>
        <v>#REF!</v>
      </c>
      <c r="GD79" t="e">
        <f>AND(#REF!,"AAAAADq+y7k=")</f>
        <v>#REF!</v>
      </c>
      <c r="GE79" t="e">
        <f>AND(#REF!,"AAAAADq+y7o=")</f>
        <v>#REF!</v>
      </c>
      <c r="GF79" t="e">
        <f>AND(#REF!,"AAAAADq+y7s=")</f>
        <v>#REF!</v>
      </c>
      <c r="GG79" t="e">
        <f>AND(#REF!,"AAAAADq+y7w=")</f>
        <v>#REF!</v>
      </c>
      <c r="GH79" t="e">
        <f>AND(#REF!,"AAAAADq+y70=")</f>
        <v>#REF!</v>
      </c>
      <c r="GI79" t="e">
        <f>AND(#REF!,"AAAAADq+y74=")</f>
        <v>#REF!</v>
      </c>
      <c r="GJ79" t="e">
        <f>AND(#REF!,"AAAAADq+y78=")</f>
        <v>#REF!</v>
      </c>
      <c r="GK79" t="e">
        <f>AND(#REF!,"AAAAADq+y8A=")</f>
        <v>#REF!</v>
      </c>
      <c r="GL79" t="e">
        <f>AND(#REF!,"AAAAADq+y8E=")</f>
        <v>#REF!</v>
      </c>
      <c r="GM79" t="e">
        <f>AND(#REF!,"AAAAADq+y8I=")</f>
        <v>#REF!</v>
      </c>
      <c r="GN79" t="e">
        <f>AND(#REF!,"AAAAADq+y8M=")</f>
        <v>#REF!</v>
      </c>
      <c r="GO79" t="e">
        <f>AND(#REF!,"AAAAADq+y8Q=")</f>
        <v>#REF!</v>
      </c>
      <c r="GP79" t="e">
        <f>AND(#REF!,"AAAAADq+y8U=")</f>
        <v>#REF!</v>
      </c>
      <c r="GQ79" t="e">
        <f>IF(#REF!,"AAAAADq+y8Y=",0)</f>
        <v>#REF!</v>
      </c>
      <c r="GR79" t="e">
        <f>AND(#REF!,"AAAAADq+y8c=")</f>
        <v>#REF!</v>
      </c>
      <c r="GS79" t="e">
        <f>AND(#REF!,"AAAAADq+y8g=")</f>
        <v>#REF!</v>
      </c>
      <c r="GT79" t="e">
        <f>AND(#REF!,"AAAAADq+y8k=")</f>
        <v>#REF!</v>
      </c>
      <c r="GU79" t="e">
        <f>AND(#REF!,"AAAAADq+y8o=")</f>
        <v>#REF!</v>
      </c>
      <c r="GV79" t="e">
        <f>AND(#REF!,"AAAAADq+y8s=")</f>
        <v>#REF!</v>
      </c>
      <c r="GW79" t="e">
        <f>AND(#REF!,"AAAAADq+y8w=")</f>
        <v>#REF!</v>
      </c>
      <c r="GX79" t="e">
        <f>AND(#REF!,"AAAAADq+y80=")</f>
        <v>#REF!</v>
      </c>
      <c r="GY79" t="e">
        <f>AND(#REF!,"AAAAADq+y84=")</f>
        <v>#REF!</v>
      </c>
      <c r="GZ79" t="e">
        <f>AND(#REF!,"AAAAADq+y88=")</f>
        <v>#REF!</v>
      </c>
      <c r="HA79" t="e">
        <f>AND(#REF!,"AAAAADq+y9A=")</f>
        <v>#REF!</v>
      </c>
      <c r="HB79" t="e">
        <f>AND(#REF!,"AAAAADq+y9E=")</f>
        <v>#REF!</v>
      </c>
      <c r="HC79" t="e">
        <f>AND(#REF!,"AAAAADq+y9I=")</f>
        <v>#REF!</v>
      </c>
      <c r="HD79" t="e">
        <f>AND(#REF!,"AAAAADq+y9M=")</f>
        <v>#REF!</v>
      </c>
      <c r="HE79" t="e">
        <f>AND(#REF!,"AAAAADq+y9Q=")</f>
        <v>#REF!</v>
      </c>
      <c r="HF79" t="e">
        <f>IF(#REF!,"AAAAADq+y9U=",0)</f>
        <v>#REF!</v>
      </c>
      <c r="HG79" t="e">
        <f>AND(#REF!,"AAAAADq+y9Y=")</f>
        <v>#REF!</v>
      </c>
      <c r="HH79" t="e">
        <f>AND(#REF!,"AAAAADq+y9c=")</f>
        <v>#REF!</v>
      </c>
      <c r="HI79" t="e">
        <f>AND(#REF!,"AAAAADq+y9g=")</f>
        <v>#REF!</v>
      </c>
      <c r="HJ79" t="e">
        <f>AND(#REF!,"AAAAADq+y9k=")</f>
        <v>#REF!</v>
      </c>
      <c r="HK79" t="e">
        <f>AND(#REF!,"AAAAADq+y9o=")</f>
        <v>#REF!</v>
      </c>
      <c r="HL79" t="e">
        <f>AND(#REF!,"AAAAADq+y9s=")</f>
        <v>#REF!</v>
      </c>
      <c r="HM79" t="e">
        <f>AND(#REF!,"AAAAADq+y9w=")</f>
        <v>#REF!</v>
      </c>
      <c r="HN79" t="e">
        <f>AND(#REF!,"AAAAADq+y90=")</f>
        <v>#REF!</v>
      </c>
      <c r="HO79" t="e">
        <f>AND(#REF!,"AAAAADq+y94=")</f>
        <v>#REF!</v>
      </c>
      <c r="HP79" t="e">
        <f>AND(#REF!,"AAAAADq+y98=")</f>
        <v>#REF!</v>
      </c>
      <c r="HQ79" t="e">
        <f>AND(#REF!,"AAAAADq+y+A=")</f>
        <v>#REF!</v>
      </c>
      <c r="HR79" t="e">
        <f>AND(#REF!,"AAAAADq+y+E=")</f>
        <v>#REF!</v>
      </c>
      <c r="HS79" t="e">
        <f>AND(#REF!,"AAAAADq+y+I=")</f>
        <v>#REF!</v>
      </c>
      <c r="HT79" t="e">
        <f>AND(#REF!,"AAAAADq+y+M=")</f>
        <v>#REF!</v>
      </c>
      <c r="HU79" t="e">
        <f>IF(#REF!,"AAAAADq+y+Q=",0)</f>
        <v>#REF!</v>
      </c>
      <c r="HV79" t="e">
        <f>AND(#REF!,"AAAAADq+y+U=")</f>
        <v>#REF!</v>
      </c>
      <c r="HW79" t="e">
        <f>AND(#REF!,"AAAAADq+y+Y=")</f>
        <v>#REF!</v>
      </c>
      <c r="HX79" t="e">
        <f>AND(#REF!,"AAAAADq+y+c=")</f>
        <v>#REF!</v>
      </c>
      <c r="HY79" t="e">
        <f>AND(#REF!,"AAAAADq+y+g=")</f>
        <v>#REF!</v>
      </c>
      <c r="HZ79" t="e">
        <f>AND(#REF!,"AAAAADq+y+k=")</f>
        <v>#REF!</v>
      </c>
      <c r="IA79" t="e">
        <f>AND(#REF!,"AAAAADq+y+o=")</f>
        <v>#REF!</v>
      </c>
      <c r="IB79" t="e">
        <f>AND(#REF!,"AAAAADq+y+s=")</f>
        <v>#REF!</v>
      </c>
      <c r="IC79" t="e">
        <f>AND(#REF!,"AAAAADq+y+w=")</f>
        <v>#REF!</v>
      </c>
      <c r="ID79" t="e">
        <f>AND(#REF!,"AAAAADq+y+0=")</f>
        <v>#REF!</v>
      </c>
      <c r="IE79" t="e">
        <f>AND(#REF!,"AAAAADq+y+4=")</f>
        <v>#REF!</v>
      </c>
      <c r="IF79" t="e">
        <f>AND(#REF!,"AAAAADq+y+8=")</f>
        <v>#REF!</v>
      </c>
      <c r="IG79" t="e">
        <f>AND(#REF!,"AAAAADq+y/A=")</f>
        <v>#REF!</v>
      </c>
      <c r="IH79" t="e">
        <f>AND(#REF!,"AAAAADq+y/E=")</f>
        <v>#REF!</v>
      </c>
      <c r="II79" t="e">
        <f>AND(#REF!,"AAAAADq+y/I=")</f>
        <v>#REF!</v>
      </c>
      <c r="IJ79" t="e">
        <f>IF(#REF!,"AAAAADq+y/M=",0)</f>
        <v>#REF!</v>
      </c>
      <c r="IK79" t="e">
        <f>AND(#REF!,"AAAAADq+y/Q=")</f>
        <v>#REF!</v>
      </c>
      <c r="IL79" t="e">
        <f>AND(#REF!,"AAAAADq+y/U=")</f>
        <v>#REF!</v>
      </c>
      <c r="IM79" t="e">
        <f>AND(#REF!,"AAAAADq+y/Y=")</f>
        <v>#REF!</v>
      </c>
      <c r="IN79" t="e">
        <f>AND(#REF!,"AAAAADq+y/c=")</f>
        <v>#REF!</v>
      </c>
      <c r="IO79" t="e">
        <f>AND(#REF!,"AAAAADq+y/g=")</f>
        <v>#REF!</v>
      </c>
      <c r="IP79" t="e">
        <f>AND(#REF!,"AAAAADq+y/k=")</f>
        <v>#REF!</v>
      </c>
      <c r="IQ79" t="e">
        <f>AND(#REF!,"AAAAADq+y/o=")</f>
        <v>#REF!</v>
      </c>
      <c r="IR79" t="e">
        <f>AND(#REF!,"AAAAADq+y/s=")</f>
        <v>#REF!</v>
      </c>
      <c r="IS79" t="e">
        <f>AND(#REF!,"AAAAADq+y/w=")</f>
        <v>#REF!</v>
      </c>
      <c r="IT79" t="e">
        <f>AND(#REF!,"AAAAADq+y/0=")</f>
        <v>#REF!</v>
      </c>
      <c r="IU79" t="e">
        <f>AND(#REF!,"AAAAADq+y/4=")</f>
        <v>#REF!</v>
      </c>
      <c r="IV79" t="e">
        <f>AND(#REF!,"AAAAADq+y/8=")</f>
        <v>#REF!</v>
      </c>
    </row>
    <row r="80" spans="1:256" x14ac:dyDescent="0.15">
      <c r="A80" t="e">
        <f>AND(#REF!,"AAAAADv/cQA=")</f>
        <v>#REF!</v>
      </c>
      <c r="B80" t="e">
        <f>AND(#REF!,"AAAAADv/cQE=")</f>
        <v>#REF!</v>
      </c>
      <c r="C80" t="e">
        <f>IF(#REF!,"AAAAADv/cQI=",0)</f>
        <v>#REF!</v>
      </c>
      <c r="D80" t="e">
        <f>AND(#REF!,"AAAAADv/cQM=")</f>
        <v>#REF!</v>
      </c>
      <c r="E80" t="e">
        <f>AND(#REF!,"AAAAADv/cQQ=")</f>
        <v>#REF!</v>
      </c>
      <c r="F80" t="e">
        <f>AND(#REF!,"AAAAADv/cQU=")</f>
        <v>#REF!</v>
      </c>
      <c r="G80" t="e">
        <f>AND(#REF!,"AAAAADv/cQY=")</f>
        <v>#REF!</v>
      </c>
      <c r="H80" t="e">
        <f>AND(#REF!,"AAAAADv/cQc=")</f>
        <v>#REF!</v>
      </c>
      <c r="I80" t="e">
        <f>AND(#REF!,"AAAAADv/cQg=")</f>
        <v>#REF!</v>
      </c>
      <c r="J80" t="e">
        <f>AND(#REF!,"AAAAADv/cQk=")</f>
        <v>#REF!</v>
      </c>
      <c r="K80" t="e">
        <f>AND(#REF!,"AAAAADv/cQo=")</f>
        <v>#REF!</v>
      </c>
      <c r="L80" t="e">
        <f>AND(#REF!,"AAAAADv/cQs=")</f>
        <v>#REF!</v>
      </c>
      <c r="M80" t="e">
        <f>AND(#REF!,"AAAAADv/cQw=")</f>
        <v>#REF!</v>
      </c>
      <c r="N80" t="e">
        <f>AND(#REF!,"AAAAADv/cQ0=")</f>
        <v>#REF!</v>
      </c>
      <c r="O80" t="e">
        <f>AND(#REF!,"AAAAADv/cQ4=")</f>
        <v>#REF!</v>
      </c>
      <c r="P80" t="e">
        <f>AND(#REF!,"AAAAADv/cQ8=")</f>
        <v>#REF!</v>
      </c>
      <c r="Q80" t="e">
        <f>AND(#REF!,"AAAAADv/cRA=")</f>
        <v>#REF!</v>
      </c>
      <c r="R80" t="e">
        <f>IF(#REF!,"AAAAADv/cRE=",0)</f>
        <v>#REF!</v>
      </c>
      <c r="S80" t="e">
        <f>AND(#REF!,"AAAAADv/cRI=")</f>
        <v>#REF!</v>
      </c>
      <c r="T80" t="e">
        <f>AND(#REF!,"AAAAADv/cRM=")</f>
        <v>#REF!</v>
      </c>
      <c r="U80" t="e">
        <f>AND(#REF!,"AAAAADv/cRQ=")</f>
        <v>#REF!</v>
      </c>
      <c r="V80" t="e">
        <f>AND(#REF!,"AAAAADv/cRU=")</f>
        <v>#REF!</v>
      </c>
      <c r="W80" t="e">
        <f>AND(#REF!,"AAAAADv/cRY=")</f>
        <v>#REF!</v>
      </c>
      <c r="X80" t="e">
        <f>AND(#REF!,"AAAAADv/cRc=")</f>
        <v>#REF!</v>
      </c>
      <c r="Y80" t="e">
        <f>AND(#REF!,"AAAAADv/cRg=")</f>
        <v>#REF!</v>
      </c>
      <c r="Z80" t="e">
        <f>AND(#REF!,"AAAAADv/cRk=")</f>
        <v>#REF!</v>
      </c>
      <c r="AA80" t="e">
        <f>AND(#REF!,"AAAAADv/cRo=")</f>
        <v>#REF!</v>
      </c>
      <c r="AB80" t="e">
        <f>AND(#REF!,"AAAAADv/cRs=")</f>
        <v>#REF!</v>
      </c>
      <c r="AC80" t="e">
        <f>AND(#REF!,"AAAAADv/cRw=")</f>
        <v>#REF!</v>
      </c>
      <c r="AD80" t="e">
        <f>AND(#REF!,"AAAAADv/cR0=")</f>
        <v>#REF!</v>
      </c>
      <c r="AE80" t="e">
        <f>AND(#REF!,"AAAAADv/cR4=")</f>
        <v>#REF!</v>
      </c>
      <c r="AF80" t="e">
        <f>AND(#REF!,"AAAAADv/cR8=")</f>
        <v>#REF!</v>
      </c>
      <c r="AG80" t="e">
        <f>IF(#REF!,"AAAAADv/cSA=",0)</f>
        <v>#REF!</v>
      </c>
      <c r="AH80" t="e">
        <f>AND(#REF!,"AAAAADv/cSE=")</f>
        <v>#REF!</v>
      </c>
      <c r="AI80" t="e">
        <f>AND(#REF!,"AAAAADv/cSI=")</f>
        <v>#REF!</v>
      </c>
      <c r="AJ80" t="e">
        <f>AND(#REF!,"AAAAADv/cSM=")</f>
        <v>#REF!</v>
      </c>
      <c r="AK80" t="e">
        <f>AND(#REF!,"AAAAADv/cSQ=")</f>
        <v>#REF!</v>
      </c>
      <c r="AL80" t="e">
        <f>AND(#REF!,"AAAAADv/cSU=")</f>
        <v>#REF!</v>
      </c>
      <c r="AM80" t="e">
        <f>AND(#REF!,"AAAAADv/cSY=")</f>
        <v>#REF!</v>
      </c>
      <c r="AN80" t="e">
        <f>AND(#REF!,"AAAAADv/cSc=")</f>
        <v>#REF!</v>
      </c>
      <c r="AO80" t="e">
        <f>AND(#REF!,"AAAAADv/cSg=")</f>
        <v>#REF!</v>
      </c>
      <c r="AP80" t="e">
        <f>AND(#REF!,"AAAAADv/cSk=")</f>
        <v>#REF!</v>
      </c>
      <c r="AQ80" t="e">
        <f>AND(#REF!,"AAAAADv/cSo=")</f>
        <v>#REF!</v>
      </c>
      <c r="AR80" t="e">
        <f>AND(#REF!,"AAAAADv/cSs=")</f>
        <v>#REF!</v>
      </c>
      <c r="AS80" t="e">
        <f>AND(#REF!,"AAAAADv/cSw=")</f>
        <v>#REF!</v>
      </c>
      <c r="AT80" t="e">
        <f>AND(#REF!,"AAAAADv/cS0=")</f>
        <v>#REF!</v>
      </c>
      <c r="AU80" t="e">
        <f>AND(#REF!,"AAAAADv/cS4=")</f>
        <v>#REF!</v>
      </c>
      <c r="AV80" t="e">
        <f>IF(#REF!,"AAAAADv/cS8=",0)</f>
        <v>#REF!</v>
      </c>
      <c r="AW80" t="e">
        <f>AND(#REF!,"AAAAADv/cTA=")</f>
        <v>#REF!</v>
      </c>
      <c r="AX80" t="e">
        <f>AND(#REF!,"AAAAADv/cTE=")</f>
        <v>#REF!</v>
      </c>
      <c r="AY80" t="e">
        <f>AND(#REF!,"AAAAADv/cTI=")</f>
        <v>#REF!</v>
      </c>
      <c r="AZ80" t="e">
        <f>AND(#REF!,"AAAAADv/cTM=")</f>
        <v>#REF!</v>
      </c>
      <c r="BA80" t="e">
        <f>AND(#REF!,"AAAAADv/cTQ=")</f>
        <v>#REF!</v>
      </c>
      <c r="BB80" t="e">
        <f>AND(#REF!,"AAAAADv/cTU=")</f>
        <v>#REF!</v>
      </c>
      <c r="BC80" t="e">
        <f>AND(#REF!,"AAAAADv/cTY=")</f>
        <v>#REF!</v>
      </c>
      <c r="BD80" t="e">
        <f>AND(#REF!,"AAAAADv/cTc=")</f>
        <v>#REF!</v>
      </c>
      <c r="BE80" t="e">
        <f>AND(#REF!,"AAAAADv/cTg=")</f>
        <v>#REF!</v>
      </c>
      <c r="BF80" t="e">
        <f>AND(#REF!,"AAAAADv/cTk=")</f>
        <v>#REF!</v>
      </c>
      <c r="BG80" t="e">
        <f>AND(#REF!,"AAAAADv/cTo=")</f>
        <v>#REF!</v>
      </c>
      <c r="BH80" t="e">
        <f>AND(#REF!,"AAAAADv/cTs=")</f>
        <v>#REF!</v>
      </c>
      <c r="BI80" t="e">
        <f>AND(#REF!,"AAAAADv/cTw=")</f>
        <v>#REF!</v>
      </c>
      <c r="BJ80" t="e">
        <f>AND(#REF!,"AAAAADv/cT0=")</f>
        <v>#REF!</v>
      </c>
      <c r="BK80" t="e">
        <f>IF(#REF!,"AAAAADv/cT4=",0)</f>
        <v>#REF!</v>
      </c>
      <c r="BL80" t="e">
        <f>AND(#REF!,"AAAAADv/cT8=")</f>
        <v>#REF!</v>
      </c>
      <c r="BM80" t="e">
        <f>AND(#REF!,"AAAAADv/cUA=")</f>
        <v>#REF!</v>
      </c>
      <c r="BN80" t="e">
        <f>AND(#REF!,"AAAAADv/cUE=")</f>
        <v>#REF!</v>
      </c>
      <c r="BO80" t="e">
        <f>AND(#REF!,"AAAAADv/cUI=")</f>
        <v>#REF!</v>
      </c>
      <c r="BP80" t="e">
        <f>AND(#REF!,"AAAAADv/cUM=")</f>
        <v>#REF!</v>
      </c>
      <c r="BQ80" t="e">
        <f>AND(#REF!,"AAAAADv/cUQ=")</f>
        <v>#REF!</v>
      </c>
      <c r="BR80" t="e">
        <f>AND(#REF!,"AAAAADv/cUU=")</f>
        <v>#REF!</v>
      </c>
      <c r="BS80" t="e">
        <f>AND(#REF!,"AAAAADv/cUY=")</f>
        <v>#REF!</v>
      </c>
      <c r="BT80" t="e">
        <f>AND(#REF!,"AAAAADv/cUc=")</f>
        <v>#REF!</v>
      </c>
      <c r="BU80" t="e">
        <f>AND(#REF!,"AAAAADv/cUg=")</f>
        <v>#REF!</v>
      </c>
      <c r="BV80" t="e">
        <f>AND(#REF!,"AAAAADv/cUk=")</f>
        <v>#REF!</v>
      </c>
      <c r="BW80" t="e">
        <f>AND(#REF!,"AAAAADv/cUo=")</f>
        <v>#REF!</v>
      </c>
      <c r="BX80" t="e">
        <f>AND(#REF!,"AAAAADv/cUs=")</f>
        <v>#REF!</v>
      </c>
      <c r="BY80" t="e">
        <f>AND(#REF!,"AAAAADv/cUw=")</f>
        <v>#REF!</v>
      </c>
      <c r="BZ80" t="e">
        <f>IF(#REF!,"AAAAADv/cU0=",0)</f>
        <v>#REF!</v>
      </c>
      <c r="CA80" t="e">
        <f>AND(#REF!,"AAAAADv/cU4=")</f>
        <v>#REF!</v>
      </c>
      <c r="CB80" t="e">
        <f>AND(#REF!,"AAAAADv/cU8=")</f>
        <v>#REF!</v>
      </c>
      <c r="CC80" t="e">
        <f>AND(#REF!,"AAAAADv/cVA=")</f>
        <v>#REF!</v>
      </c>
      <c r="CD80" t="e">
        <f>AND(#REF!,"AAAAADv/cVE=")</f>
        <v>#REF!</v>
      </c>
      <c r="CE80" t="e">
        <f>AND(#REF!,"AAAAADv/cVI=")</f>
        <v>#REF!</v>
      </c>
      <c r="CF80" t="e">
        <f>AND(#REF!,"AAAAADv/cVM=")</f>
        <v>#REF!</v>
      </c>
      <c r="CG80" t="e">
        <f>AND(#REF!,"AAAAADv/cVQ=")</f>
        <v>#REF!</v>
      </c>
      <c r="CH80" t="e">
        <f>AND(#REF!,"AAAAADv/cVU=")</f>
        <v>#REF!</v>
      </c>
      <c r="CI80" t="e">
        <f>AND(#REF!,"AAAAADv/cVY=")</f>
        <v>#REF!</v>
      </c>
      <c r="CJ80" t="e">
        <f>AND(#REF!,"AAAAADv/cVc=")</f>
        <v>#REF!</v>
      </c>
      <c r="CK80" t="e">
        <f>AND(#REF!,"AAAAADv/cVg=")</f>
        <v>#REF!</v>
      </c>
      <c r="CL80" t="e">
        <f>AND(#REF!,"AAAAADv/cVk=")</f>
        <v>#REF!</v>
      </c>
      <c r="CM80" t="e">
        <f>AND(#REF!,"AAAAADv/cVo=")</f>
        <v>#REF!</v>
      </c>
      <c r="CN80" t="e">
        <f>AND(#REF!,"AAAAADv/cVs=")</f>
        <v>#REF!</v>
      </c>
      <c r="CO80" t="e">
        <f>IF(#REF!,"AAAAADv/cVw=",0)</f>
        <v>#REF!</v>
      </c>
      <c r="CP80" t="e">
        <f>AND(#REF!,"AAAAADv/cV0=")</f>
        <v>#REF!</v>
      </c>
      <c r="CQ80" t="e">
        <f>AND(#REF!,"AAAAADv/cV4=")</f>
        <v>#REF!</v>
      </c>
      <c r="CR80" t="e">
        <f>AND(#REF!,"AAAAADv/cV8=")</f>
        <v>#REF!</v>
      </c>
      <c r="CS80" t="e">
        <f>AND(#REF!,"AAAAADv/cWA=")</f>
        <v>#REF!</v>
      </c>
      <c r="CT80" t="e">
        <f>AND(#REF!,"AAAAADv/cWE=")</f>
        <v>#REF!</v>
      </c>
      <c r="CU80" t="e">
        <f>AND(#REF!,"AAAAADv/cWI=")</f>
        <v>#REF!</v>
      </c>
      <c r="CV80" t="e">
        <f>AND(#REF!,"AAAAADv/cWM=")</f>
        <v>#REF!</v>
      </c>
      <c r="CW80" t="e">
        <f>AND(#REF!,"AAAAADv/cWQ=")</f>
        <v>#REF!</v>
      </c>
      <c r="CX80" t="e">
        <f>AND(#REF!,"AAAAADv/cWU=")</f>
        <v>#REF!</v>
      </c>
      <c r="CY80" t="e">
        <f>AND(#REF!,"AAAAADv/cWY=")</f>
        <v>#REF!</v>
      </c>
      <c r="CZ80" t="e">
        <f>AND(#REF!,"AAAAADv/cWc=")</f>
        <v>#REF!</v>
      </c>
      <c r="DA80" t="e">
        <f>AND(#REF!,"AAAAADv/cWg=")</f>
        <v>#REF!</v>
      </c>
      <c r="DB80" t="e">
        <f>AND(#REF!,"AAAAADv/cWk=")</f>
        <v>#REF!</v>
      </c>
      <c r="DC80" t="e">
        <f>AND(#REF!,"AAAAADv/cWo=")</f>
        <v>#REF!</v>
      </c>
      <c r="DD80" t="e">
        <f>IF(#REF!,"AAAAADv/cWs=",0)</f>
        <v>#REF!</v>
      </c>
      <c r="DE80" t="e">
        <f>AND(#REF!,"AAAAADv/cWw=")</f>
        <v>#REF!</v>
      </c>
      <c r="DF80" t="e">
        <f>AND(#REF!,"AAAAADv/cW0=")</f>
        <v>#REF!</v>
      </c>
      <c r="DG80" t="e">
        <f>AND(#REF!,"AAAAADv/cW4=")</f>
        <v>#REF!</v>
      </c>
      <c r="DH80" t="e">
        <f>AND(#REF!,"AAAAADv/cW8=")</f>
        <v>#REF!</v>
      </c>
      <c r="DI80" t="e">
        <f>AND(#REF!,"AAAAADv/cXA=")</f>
        <v>#REF!</v>
      </c>
      <c r="DJ80" t="e">
        <f>AND(#REF!,"AAAAADv/cXE=")</f>
        <v>#REF!</v>
      </c>
      <c r="DK80" t="e">
        <f>AND(#REF!,"AAAAADv/cXI=")</f>
        <v>#REF!</v>
      </c>
      <c r="DL80" t="e">
        <f>AND(#REF!,"AAAAADv/cXM=")</f>
        <v>#REF!</v>
      </c>
      <c r="DM80" t="e">
        <f>AND(#REF!,"AAAAADv/cXQ=")</f>
        <v>#REF!</v>
      </c>
      <c r="DN80" t="e">
        <f>AND(#REF!,"AAAAADv/cXU=")</f>
        <v>#REF!</v>
      </c>
      <c r="DO80" t="e">
        <f>AND(#REF!,"AAAAADv/cXY=")</f>
        <v>#REF!</v>
      </c>
      <c r="DP80" t="e">
        <f>AND(#REF!,"AAAAADv/cXc=")</f>
        <v>#REF!</v>
      </c>
      <c r="DQ80" t="e">
        <f>AND(#REF!,"AAAAADv/cXg=")</f>
        <v>#REF!</v>
      </c>
      <c r="DR80" t="e">
        <f>AND(#REF!,"AAAAADv/cXk=")</f>
        <v>#REF!</v>
      </c>
      <c r="DS80" t="e">
        <f>IF(#REF!,"AAAAADv/cXo=",0)</f>
        <v>#REF!</v>
      </c>
      <c r="DT80" t="e">
        <f>IF(#REF!,"AAAAADv/cXs=",0)</f>
        <v>#REF!</v>
      </c>
      <c r="DU80" t="e">
        <f>IF(#REF!,"AAAAADv/cXw=",0)</f>
        <v>#REF!</v>
      </c>
      <c r="DV80" t="e">
        <f>IF(#REF!,"AAAAADv/cX0=",0)</f>
        <v>#REF!</v>
      </c>
      <c r="DW80" t="e">
        <f>IF(#REF!,"AAAAADv/cX4=",0)</f>
        <v>#REF!</v>
      </c>
      <c r="DX80" t="e">
        <f>IF(#REF!,"AAAAADv/cX8=",0)</f>
        <v>#REF!</v>
      </c>
      <c r="DY80" t="e">
        <f>IF(#REF!,"AAAAADv/cYA=",0)</f>
        <v>#REF!</v>
      </c>
      <c r="DZ80" t="e">
        <f>IF(#REF!,"AAAAADv/cYE=",0)</f>
        <v>#REF!</v>
      </c>
      <c r="EA80" t="e">
        <f>IF(#REF!,"AAAAADv/cYI=",0)</f>
        <v>#REF!</v>
      </c>
      <c r="EB80" t="e">
        <f>IF(#REF!,"AAAAADv/cYM=",0)</f>
        <v>#REF!</v>
      </c>
      <c r="EC80" t="e">
        <f>IF(#REF!,"AAAAADv/cYQ=",0)</f>
        <v>#REF!</v>
      </c>
      <c r="ED80" t="e">
        <f>IF(#REF!,"AAAAADv/cYU=",0)</f>
        <v>#REF!</v>
      </c>
      <c r="EE80" t="e">
        <f>IF(#REF!,"AAAAADv/cYY=",0)</f>
        <v>#REF!</v>
      </c>
      <c r="EF80" t="e">
        <f>IF(#REF!,"AAAAADv/cYc=",0)</f>
        <v>#REF!</v>
      </c>
      <c r="EG80" t="e">
        <f>IF(#REF!,"AAAAADv/cYg=",0)</f>
        <v>#REF!</v>
      </c>
      <c r="EH80" t="e">
        <f>IF(#REF!,"AAAAADv/cYk=",0)</f>
        <v>#REF!</v>
      </c>
      <c r="EI80" t="e">
        <f>IF(#REF!,"AAAAADv/cYo=",0)</f>
        <v>#REF!</v>
      </c>
      <c r="EJ80" t="e">
        <f>AND(#REF!,"AAAAADv/cYs=")</f>
        <v>#REF!</v>
      </c>
      <c r="EK80" t="e">
        <f>AND(#REF!,"AAAAADv/cYw=")</f>
        <v>#REF!</v>
      </c>
      <c r="EL80" t="e">
        <f>AND(#REF!,"AAAAADv/cY0=")</f>
        <v>#REF!</v>
      </c>
      <c r="EM80" t="e">
        <f>AND(#REF!,"AAAAADv/cY4=")</f>
        <v>#REF!</v>
      </c>
      <c r="EN80" t="e">
        <f>AND(#REF!,"AAAAADv/cY8=")</f>
        <v>#REF!</v>
      </c>
      <c r="EO80" t="e">
        <f>AND(#REF!,"AAAAADv/cZA=")</f>
        <v>#REF!</v>
      </c>
      <c r="EP80" t="e">
        <f>AND(#REF!,"AAAAADv/cZE=")</f>
        <v>#REF!</v>
      </c>
      <c r="EQ80" t="e">
        <f>AND(#REF!,"AAAAADv/cZI=")</f>
        <v>#REF!</v>
      </c>
      <c r="ER80" t="e">
        <f>AND(#REF!,"AAAAADv/cZM=")</f>
        <v>#REF!</v>
      </c>
      <c r="ES80" t="e">
        <f>AND(#REF!,"AAAAADv/cZQ=")</f>
        <v>#REF!</v>
      </c>
      <c r="ET80" t="e">
        <f>AND(#REF!,"AAAAADv/cZU=")</f>
        <v>#REF!</v>
      </c>
      <c r="EU80" t="e">
        <f>AND(#REF!,"AAAAADv/cZY=")</f>
        <v>#REF!</v>
      </c>
      <c r="EV80" t="e">
        <f>AND(#REF!,"AAAAADv/cZc=")</f>
        <v>#REF!</v>
      </c>
      <c r="EW80" t="e">
        <f>AND(#REF!,"AAAAADv/cZg=")</f>
        <v>#REF!</v>
      </c>
      <c r="EX80" t="e">
        <f>AND(#REF!,"AAAAADv/cZk=")</f>
        <v>#REF!</v>
      </c>
      <c r="EY80" t="e">
        <f>IF(#REF!,"AAAAADv/cZo=",0)</f>
        <v>#REF!</v>
      </c>
      <c r="EZ80" t="e">
        <f>AND(#REF!,"AAAAADv/cZs=")</f>
        <v>#REF!</v>
      </c>
      <c r="FA80" t="e">
        <f>AND(#REF!,"AAAAADv/cZw=")</f>
        <v>#REF!</v>
      </c>
      <c r="FB80" t="e">
        <f>AND(#REF!,"AAAAADv/cZ0=")</f>
        <v>#REF!</v>
      </c>
      <c r="FC80" t="e">
        <f>AND(#REF!,"AAAAADv/cZ4=")</f>
        <v>#REF!</v>
      </c>
      <c r="FD80" t="e">
        <f>AND(#REF!,"AAAAADv/cZ8=")</f>
        <v>#REF!</v>
      </c>
      <c r="FE80" t="e">
        <f>AND(#REF!,"AAAAADv/caA=")</f>
        <v>#REF!</v>
      </c>
      <c r="FF80" t="e">
        <f>AND(#REF!,"AAAAADv/caE=")</f>
        <v>#REF!</v>
      </c>
      <c r="FG80" t="e">
        <f>AND(#REF!,"AAAAADv/caI=")</f>
        <v>#REF!</v>
      </c>
      <c r="FH80" t="e">
        <f>AND(#REF!,"AAAAADv/caM=")</f>
        <v>#REF!</v>
      </c>
      <c r="FI80" t="e">
        <f>AND(#REF!,"AAAAADv/caQ=")</f>
        <v>#REF!</v>
      </c>
      <c r="FJ80" t="e">
        <f>AND(#REF!,"AAAAADv/caU=")</f>
        <v>#REF!</v>
      </c>
      <c r="FK80" t="e">
        <f>AND(#REF!,"AAAAADv/caY=")</f>
        <v>#REF!</v>
      </c>
      <c r="FL80" t="e">
        <f>AND(#REF!,"AAAAADv/cac=")</f>
        <v>#REF!</v>
      </c>
      <c r="FM80" t="e">
        <f>AND(#REF!,"AAAAADv/cag=")</f>
        <v>#REF!</v>
      </c>
      <c r="FN80" t="e">
        <f>AND(#REF!,"AAAAADv/cak=")</f>
        <v>#REF!</v>
      </c>
      <c r="FO80" t="e">
        <f>IF(#REF!,"AAAAADv/cao=",0)</f>
        <v>#REF!</v>
      </c>
      <c r="FP80" t="e">
        <f>AND(#REF!,"AAAAADv/cas=")</f>
        <v>#REF!</v>
      </c>
      <c r="FQ80" t="e">
        <f>AND(#REF!,"AAAAADv/caw=")</f>
        <v>#REF!</v>
      </c>
      <c r="FR80" t="e">
        <f>AND(#REF!,"AAAAADv/ca0=")</f>
        <v>#REF!</v>
      </c>
      <c r="FS80" t="e">
        <f>AND(#REF!,"AAAAADv/ca4=")</f>
        <v>#REF!</v>
      </c>
      <c r="FT80" t="e">
        <f>AND(#REF!,"AAAAADv/ca8=")</f>
        <v>#REF!</v>
      </c>
      <c r="FU80" t="e">
        <f>AND(#REF!,"AAAAADv/cbA=")</f>
        <v>#REF!</v>
      </c>
      <c r="FV80" t="e">
        <f>AND(#REF!,"AAAAADv/cbE=")</f>
        <v>#REF!</v>
      </c>
      <c r="FW80" t="e">
        <f>AND(#REF!,"AAAAADv/cbI=")</f>
        <v>#REF!</v>
      </c>
      <c r="FX80" t="e">
        <f>AND(#REF!,"AAAAADv/cbM=")</f>
        <v>#REF!</v>
      </c>
      <c r="FY80" t="e">
        <f>AND(#REF!,"AAAAADv/cbQ=")</f>
        <v>#REF!</v>
      </c>
      <c r="FZ80" t="e">
        <f>AND(#REF!,"AAAAADv/cbU=")</f>
        <v>#REF!</v>
      </c>
      <c r="GA80" t="e">
        <f>AND(#REF!,"AAAAADv/cbY=")</f>
        <v>#REF!</v>
      </c>
      <c r="GB80" t="e">
        <f>AND(#REF!,"AAAAADv/cbc=")</f>
        <v>#REF!</v>
      </c>
      <c r="GC80" t="e">
        <f>AND(#REF!,"AAAAADv/cbg=")</f>
        <v>#REF!</v>
      </c>
      <c r="GD80" t="e">
        <f>AND(#REF!,"AAAAADv/cbk=")</f>
        <v>#REF!</v>
      </c>
      <c r="GE80" t="e">
        <f>IF(#REF!,"AAAAADv/cbo=",0)</f>
        <v>#REF!</v>
      </c>
      <c r="GF80" t="e">
        <f>AND(#REF!,"AAAAADv/cbs=")</f>
        <v>#REF!</v>
      </c>
      <c r="GG80" t="e">
        <f>AND(#REF!,"AAAAADv/cbw=")</f>
        <v>#REF!</v>
      </c>
      <c r="GH80" t="e">
        <f>AND(#REF!,"AAAAADv/cb0=")</f>
        <v>#REF!</v>
      </c>
      <c r="GI80" t="e">
        <f>AND(#REF!,"AAAAADv/cb4=")</f>
        <v>#REF!</v>
      </c>
      <c r="GJ80" t="e">
        <f>AND(#REF!,"AAAAADv/cb8=")</f>
        <v>#REF!</v>
      </c>
      <c r="GK80" t="e">
        <f>AND(#REF!,"AAAAADv/ccA=")</f>
        <v>#REF!</v>
      </c>
      <c r="GL80" t="e">
        <f>AND(#REF!,"AAAAADv/ccE=")</f>
        <v>#REF!</v>
      </c>
      <c r="GM80" t="e">
        <f>AND(#REF!,"AAAAADv/ccI=")</f>
        <v>#REF!</v>
      </c>
      <c r="GN80" t="e">
        <f>AND(#REF!,"AAAAADv/ccM=")</f>
        <v>#REF!</v>
      </c>
      <c r="GO80" t="e">
        <f>AND(#REF!,"AAAAADv/ccQ=")</f>
        <v>#REF!</v>
      </c>
      <c r="GP80" t="e">
        <f>AND(#REF!,"AAAAADv/ccU=")</f>
        <v>#REF!</v>
      </c>
      <c r="GQ80" t="e">
        <f>AND(#REF!,"AAAAADv/ccY=")</f>
        <v>#REF!</v>
      </c>
      <c r="GR80" t="e">
        <f>AND(#REF!,"AAAAADv/ccc=")</f>
        <v>#REF!</v>
      </c>
      <c r="GS80" t="e">
        <f>AND(#REF!,"AAAAADv/ccg=")</f>
        <v>#REF!</v>
      </c>
      <c r="GT80" t="e">
        <f>AND(#REF!,"AAAAADv/cck=")</f>
        <v>#REF!</v>
      </c>
      <c r="GU80" t="e">
        <f>IF(#REF!,"AAAAADv/cco=",0)</f>
        <v>#REF!</v>
      </c>
      <c r="GV80" t="e">
        <f>AND(#REF!,"AAAAADv/ccs=")</f>
        <v>#REF!</v>
      </c>
      <c r="GW80" t="e">
        <f>AND(#REF!,"AAAAADv/ccw=")</f>
        <v>#REF!</v>
      </c>
      <c r="GX80" t="e">
        <f>AND(#REF!,"AAAAADv/cc0=")</f>
        <v>#REF!</v>
      </c>
      <c r="GY80" t="e">
        <f>AND(#REF!,"AAAAADv/cc4=")</f>
        <v>#REF!</v>
      </c>
      <c r="GZ80" t="e">
        <f>AND(#REF!,"AAAAADv/cc8=")</f>
        <v>#REF!</v>
      </c>
      <c r="HA80" t="e">
        <f>AND(#REF!,"AAAAADv/cdA=")</f>
        <v>#REF!</v>
      </c>
      <c r="HB80" t="e">
        <f>AND(#REF!,"AAAAADv/cdE=")</f>
        <v>#REF!</v>
      </c>
      <c r="HC80" t="e">
        <f>AND(#REF!,"AAAAADv/cdI=")</f>
        <v>#REF!</v>
      </c>
      <c r="HD80" t="e">
        <f>AND(#REF!,"AAAAADv/cdM=")</f>
        <v>#REF!</v>
      </c>
      <c r="HE80" t="e">
        <f>AND(#REF!,"AAAAADv/cdQ=")</f>
        <v>#REF!</v>
      </c>
      <c r="HF80" t="e">
        <f>AND(#REF!,"AAAAADv/cdU=")</f>
        <v>#REF!</v>
      </c>
      <c r="HG80" t="e">
        <f>AND(#REF!,"AAAAADv/cdY=")</f>
        <v>#REF!</v>
      </c>
      <c r="HH80" t="e">
        <f>AND(#REF!,"AAAAADv/cdc=")</f>
        <v>#REF!</v>
      </c>
      <c r="HI80" t="e">
        <f>AND(#REF!,"AAAAADv/cdg=")</f>
        <v>#REF!</v>
      </c>
      <c r="HJ80" t="e">
        <f>AND(#REF!,"AAAAADv/cdk=")</f>
        <v>#REF!</v>
      </c>
      <c r="HK80" t="e">
        <f>IF(#REF!,"AAAAADv/cdo=",0)</f>
        <v>#REF!</v>
      </c>
      <c r="HL80" t="e">
        <f>AND(#REF!,"AAAAADv/cds=")</f>
        <v>#REF!</v>
      </c>
      <c r="HM80" t="e">
        <f>AND(#REF!,"AAAAADv/cdw=")</f>
        <v>#REF!</v>
      </c>
      <c r="HN80" t="e">
        <f>AND(#REF!,"AAAAADv/cd0=")</f>
        <v>#REF!</v>
      </c>
      <c r="HO80" t="e">
        <f>AND(#REF!,"AAAAADv/cd4=")</f>
        <v>#REF!</v>
      </c>
      <c r="HP80" t="e">
        <f>AND(#REF!,"AAAAADv/cd8=")</f>
        <v>#REF!</v>
      </c>
      <c r="HQ80" t="e">
        <f>AND(#REF!,"AAAAADv/ceA=")</f>
        <v>#REF!</v>
      </c>
      <c r="HR80" t="e">
        <f>AND(#REF!,"AAAAADv/ceE=")</f>
        <v>#REF!</v>
      </c>
      <c r="HS80" t="e">
        <f>AND(#REF!,"AAAAADv/ceI=")</f>
        <v>#REF!</v>
      </c>
      <c r="HT80" t="e">
        <f>AND(#REF!,"AAAAADv/ceM=")</f>
        <v>#REF!</v>
      </c>
      <c r="HU80" t="e">
        <f>AND(#REF!,"AAAAADv/ceQ=")</f>
        <v>#REF!</v>
      </c>
      <c r="HV80" t="e">
        <f>AND(#REF!,"AAAAADv/ceU=")</f>
        <v>#REF!</v>
      </c>
      <c r="HW80" t="e">
        <f>AND(#REF!,"AAAAADv/ceY=")</f>
        <v>#REF!</v>
      </c>
      <c r="HX80" t="e">
        <f>AND(#REF!,"AAAAADv/cec=")</f>
        <v>#REF!</v>
      </c>
      <c r="HY80" t="e">
        <f>AND(#REF!,"AAAAADv/ceg=")</f>
        <v>#REF!</v>
      </c>
      <c r="HZ80" t="e">
        <f>AND(#REF!,"AAAAADv/cek=")</f>
        <v>#REF!</v>
      </c>
      <c r="IA80" t="e">
        <f>IF(#REF!,"AAAAADv/ceo=",0)</f>
        <v>#REF!</v>
      </c>
      <c r="IB80" t="e">
        <f>AND(#REF!,"AAAAADv/ces=")</f>
        <v>#REF!</v>
      </c>
      <c r="IC80" t="e">
        <f>AND(#REF!,"AAAAADv/cew=")</f>
        <v>#REF!</v>
      </c>
      <c r="ID80" t="e">
        <f>AND(#REF!,"AAAAADv/ce0=")</f>
        <v>#REF!</v>
      </c>
      <c r="IE80" t="e">
        <f>AND(#REF!,"AAAAADv/ce4=")</f>
        <v>#REF!</v>
      </c>
      <c r="IF80" t="e">
        <f>AND(#REF!,"AAAAADv/ce8=")</f>
        <v>#REF!</v>
      </c>
      <c r="IG80" t="e">
        <f>AND(#REF!,"AAAAADv/cfA=")</f>
        <v>#REF!</v>
      </c>
      <c r="IH80" t="e">
        <f>AND(#REF!,"AAAAADv/cfE=")</f>
        <v>#REF!</v>
      </c>
      <c r="II80" t="e">
        <f>AND(#REF!,"AAAAADv/cfI=")</f>
        <v>#REF!</v>
      </c>
      <c r="IJ80" t="e">
        <f>AND(#REF!,"AAAAADv/cfM=")</f>
        <v>#REF!</v>
      </c>
      <c r="IK80" t="e">
        <f>AND(#REF!,"AAAAADv/cfQ=")</f>
        <v>#REF!</v>
      </c>
      <c r="IL80" t="e">
        <f>AND(#REF!,"AAAAADv/cfU=")</f>
        <v>#REF!</v>
      </c>
      <c r="IM80" t="e">
        <f>AND(#REF!,"AAAAADv/cfY=")</f>
        <v>#REF!</v>
      </c>
      <c r="IN80" t="e">
        <f>AND(#REF!,"AAAAADv/cfc=")</f>
        <v>#REF!</v>
      </c>
      <c r="IO80" t="e">
        <f>AND(#REF!,"AAAAADv/cfg=")</f>
        <v>#REF!</v>
      </c>
      <c r="IP80" t="e">
        <f>AND(#REF!,"AAAAADv/cfk=")</f>
        <v>#REF!</v>
      </c>
      <c r="IQ80" t="e">
        <f>IF(#REF!,"AAAAADv/cfo=",0)</f>
        <v>#REF!</v>
      </c>
      <c r="IR80" t="e">
        <f>AND(#REF!,"AAAAADv/cfs=")</f>
        <v>#REF!</v>
      </c>
      <c r="IS80" t="e">
        <f>AND(#REF!,"AAAAADv/cfw=")</f>
        <v>#REF!</v>
      </c>
      <c r="IT80" t="e">
        <f>AND(#REF!,"AAAAADv/cf0=")</f>
        <v>#REF!</v>
      </c>
      <c r="IU80" t="e">
        <f>AND(#REF!,"AAAAADv/cf4=")</f>
        <v>#REF!</v>
      </c>
      <c r="IV80" t="e">
        <f>AND(#REF!,"AAAAADv/cf8=")</f>
        <v>#REF!</v>
      </c>
    </row>
    <row r="81" spans="1:256" x14ac:dyDescent="0.15">
      <c r="A81" t="e">
        <f>AND(#REF!,"AAAAAF/z/wA=")</f>
        <v>#REF!</v>
      </c>
      <c r="B81" t="e">
        <f>AND(#REF!,"AAAAAF/z/wE=")</f>
        <v>#REF!</v>
      </c>
      <c r="C81" t="e">
        <f>AND(#REF!,"AAAAAF/z/wI=")</f>
        <v>#REF!</v>
      </c>
      <c r="D81" t="e">
        <f>AND(#REF!,"AAAAAF/z/wM=")</f>
        <v>#REF!</v>
      </c>
      <c r="E81" t="e">
        <f>AND(#REF!,"AAAAAF/z/wQ=")</f>
        <v>#REF!</v>
      </c>
      <c r="F81" t="e">
        <f>AND(#REF!,"AAAAAF/z/wU=")</f>
        <v>#REF!</v>
      </c>
      <c r="G81" t="e">
        <f>AND(#REF!,"AAAAAF/z/wY=")</f>
        <v>#REF!</v>
      </c>
      <c r="H81" t="e">
        <f>AND(#REF!,"AAAAAF/z/wc=")</f>
        <v>#REF!</v>
      </c>
      <c r="I81" t="e">
        <f>AND(#REF!,"AAAAAF/z/wg=")</f>
        <v>#REF!</v>
      </c>
      <c r="J81" t="e">
        <f>AND(#REF!,"AAAAAF/z/wk=")</f>
        <v>#REF!</v>
      </c>
      <c r="K81" t="e">
        <f>IF(#REF!,"AAAAAF/z/wo=",0)</f>
        <v>#REF!</v>
      </c>
      <c r="L81" t="e">
        <f>AND(#REF!,"AAAAAF/z/ws=")</f>
        <v>#REF!</v>
      </c>
      <c r="M81" t="e">
        <f>AND(#REF!,"AAAAAF/z/ww=")</f>
        <v>#REF!</v>
      </c>
      <c r="N81" t="e">
        <f>AND(#REF!,"AAAAAF/z/w0=")</f>
        <v>#REF!</v>
      </c>
      <c r="O81" t="e">
        <f>AND(#REF!,"AAAAAF/z/w4=")</f>
        <v>#REF!</v>
      </c>
      <c r="P81" t="e">
        <f>AND(#REF!,"AAAAAF/z/w8=")</f>
        <v>#REF!</v>
      </c>
      <c r="Q81" t="e">
        <f>AND(#REF!,"AAAAAF/z/xA=")</f>
        <v>#REF!</v>
      </c>
      <c r="R81" t="e">
        <f>AND(#REF!,"AAAAAF/z/xE=")</f>
        <v>#REF!</v>
      </c>
      <c r="S81" t="e">
        <f>AND(#REF!,"AAAAAF/z/xI=")</f>
        <v>#REF!</v>
      </c>
      <c r="T81" t="e">
        <f>AND(#REF!,"AAAAAF/z/xM=")</f>
        <v>#REF!</v>
      </c>
      <c r="U81" t="e">
        <f>AND(#REF!,"AAAAAF/z/xQ=")</f>
        <v>#REF!</v>
      </c>
      <c r="V81" t="e">
        <f>AND(#REF!,"AAAAAF/z/xU=")</f>
        <v>#REF!</v>
      </c>
      <c r="W81" t="e">
        <f>AND(#REF!,"AAAAAF/z/xY=")</f>
        <v>#REF!</v>
      </c>
      <c r="X81" t="e">
        <f>AND(#REF!,"AAAAAF/z/xc=")</f>
        <v>#REF!</v>
      </c>
      <c r="Y81" t="e">
        <f>AND(#REF!,"AAAAAF/z/xg=")</f>
        <v>#REF!</v>
      </c>
      <c r="Z81" t="e">
        <f>AND(#REF!,"AAAAAF/z/xk=")</f>
        <v>#REF!</v>
      </c>
      <c r="AA81" t="e">
        <f>IF(#REF!,"AAAAAF/z/xo=",0)</f>
        <v>#REF!</v>
      </c>
      <c r="AB81" t="e">
        <f>AND(#REF!,"AAAAAF/z/xs=")</f>
        <v>#REF!</v>
      </c>
      <c r="AC81" t="e">
        <f>AND(#REF!,"AAAAAF/z/xw=")</f>
        <v>#REF!</v>
      </c>
      <c r="AD81" t="e">
        <f>AND(#REF!,"AAAAAF/z/x0=")</f>
        <v>#REF!</v>
      </c>
      <c r="AE81" t="e">
        <f>AND(#REF!,"AAAAAF/z/x4=")</f>
        <v>#REF!</v>
      </c>
      <c r="AF81" t="e">
        <f>AND(#REF!,"AAAAAF/z/x8=")</f>
        <v>#REF!</v>
      </c>
      <c r="AG81" t="e">
        <f>AND(#REF!,"AAAAAF/z/yA=")</f>
        <v>#REF!</v>
      </c>
      <c r="AH81" t="e">
        <f>AND(#REF!,"AAAAAF/z/yE=")</f>
        <v>#REF!</v>
      </c>
      <c r="AI81" t="e">
        <f>AND(#REF!,"AAAAAF/z/yI=")</f>
        <v>#REF!</v>
      </c>
      <c r="AJ81" t="e">
        <f>AND(#REF!,"AAAAAF/z/yM=")</f>
        <v>#REF!</v>
      </c>
      <c r="AK81" t="e">
        <f>AND(#REF!,"AAAAAF/z/yQ=")</f>
        <v>#REF!</v>
      </c>
      <c r="AL81" t="e">
        <f>AND(#REF!,"AAAAAF/z/yU=")</f>
        <v>#REF!</v>
      </c>
      <c r="AM81" t="e">
        <f>AND(#REF!,"AAAAAF/z/yY=")</f>
        <v>#REF!</v>
      </c>
      <c r="AN81" t="e">
        <f>AND(#REF!,"AAAAAF/z/yc=")</f>
        <v>#REF!</v>
      </c>
      <c r="AO81" t="e">
        <f>AND(#REF!,"AAAAAF/z/yg=")</f>
        <v>#REF!</v>
      </c>
      <c r="AP81" t="e">
        <f>AND(#REF!,"AAAAAF/z/yk=")</f>
        <v>#REF!</v>
      </c>
      <c r="AQ81" t="e">
        <f>IF(#REF!,"AAAAAF/z/yo=",0)</f>
        <v>#REF!</v>
      </c>
      <c r="AR81" t="e">
        <f>AND(#REF!,"AAAAAF/z/ys=")</f>
        <v>#REF!</v>
      </c>
      <c r="AS81" t="e">
        <f>AND(#REF!,"AAAAAF/z/yw=")</f>
        <v>#REF!</v>
      </c>
      <c r="AT81" t="e">
        <f>AND(#REF!,"AAAAAF/z/y0=")</f>
        <v>#REF!</v>
      </c>
      <c r="AU81" t="e">
        <f>AND(#REF!,"AAAAAF/z/y4=")</f>
        <v>#REF!</v>
      </c>
      <c r="AV81" t="e">
        <f>AND(#REF!,"AAAAAF/z/y8=")</f>
        <v>#REF!</v>
      </c>
      <c r="AW81" t="e">
        <f>AND(#REF!,"AAAAAF/z/zA=")</f>
        <v>#REF!</v>
      </c>
      <c r="AX81" t="e">
        <f>AND(#REF!,"AAAAAF/z/zE=")</f>
        <v>#REF!</v>
      </c>
      <c r="AY81" t="e">
        <f>AND(#REF!,"AAAAAF/z/zI=")</f>
        <v>#REF!</v>
      </c>
      <c r="AZ81" t="e">
        <f>AND(#REF!,"AAAAAF/z/zM=")</f>
        <v>#REF!</v>
      </c>
      <c r="BA81" t="e">
        <f>AND(#REF!,"AAAAAF/z/zQ=")</f>
        <v>#REF!</v>
      </c>
      <c r="BB81" t="e">
        <f>AND(#REF!,"AAAAAF/z/zU=")</f>
        <v>#REF!</v>
      </c>
      <c r="BC81" t="e">
        <f>AND(#REF!,"AAAAAF/z/zY=")</f>
        <v>#REF!</v>
      </c>
      <c r="BD81" t="e">
        <f>AND(#REF!,"AAAAAF/z/zc=")</f>
        <v>#REF!</v>
      </c>
      <c r="BE81" t="e">
        <f>AND(#REF!,"AAAAAF/z/zg=")</f>
        <v>#REF!</v>
      </c>
      <c r="BF81" t="e">
        <f>AND(#REF!,"AAAAAF/z/zk=")</f>
        <v>#REF!</v>
      </c>
      <c r="BG81" t="e">
        <f>IF(#REF!,"AAAAAF/z/zo=",0)</f>
        <v>#REF!</v>
      </c>
      <c r="BH81" t="e">
        <f>AND(#REF!,"AAAAAF/z/zs=")</f>
        <v>#REF!</v>
      </c>
      <c r="BI81" t="e">
        <f>AND(#REF!,"AAAAAF/z/zw=")</f>
        <v>#REF!</v>
      </c>
      <c r="BJ81" t="e">
        <f>AND(#REF!,"AAAAAF/z/z0=")</f>
        <v>#REF!</v>
      </c>
      <c r="BK81" t="e">
        <f>AND(#REF!,"AAAAAF/z/z4=")</f>
        <v>#REF!</v>
      </c>
      <c r="BL81" t="e">
        <f>AND(#REF!,"AAAAAF/z/z8=")</f>
        <v>#REF!</v>
      </c>
      <c r="BM81" t="e">
        <f>AND(#REF!,"AAAAAF/z/0A=")</f>
        <v>#REF!</v>
      </c>
      <c r="BN81" t="e">
        <f>AND(#REF!,"AAAAAF/z/0E=")</f>
        <v>#REF!</v>
      </c>
      <c r="BO81" t="e">
        <f>AND(#REF!,"AAAAAF/z/0I=")</f>
        <v>#REF!</v>
      </c>
      <c r="BP81" t="e">
        <f>AND(#REF!,"AAAAAF/z/0M=")</f>
        <v>#REF!</v>
      </c>
      <c r="BQ81" t="e">
        <f>AND(#REF!,"AAAAAF/z/0Q=")</f>
        <v>#REF!</v>
      </c>
      <c r="BR81" t="e">
        <f>AND(#REF!,"AAAAAF/z/0U=")</f>
        <v>#REF!</v>
      </c>
      <c r="BS81" t="e">
        <f>AND(#REF!,"AAAAAF/z/0Y=")</f>
        <v>#REF!</v>
      </c>
      <c r="BT81" t="e">
        <f>AND(#REF!,"AAAAAF/z/0c=")</f>
        <v>#REF!</v>
      </c>
      <c r="BU81" t="e">
        <f>AND(#REF!,"AAAAAF/z/0g=")</f>
        <v>#REF!</v>
      </c>
      <c r="BV81" t="e">
        <f>AND(#REF!,"AAAAAF/z/0k=")</f>
        <v>#REF!</v>
      </c>
      <c r="BW81" t="e">
        <f>IF(#REF!,"AAAAAF/z/0o=",0)</f>
        <v>#REF!</v>
      </c>
      <c r="BX81" t="e">
        <f>AND(#REF!,"AAAAAF/z/0s=")</f>
        <v>#REF!</v>
      </c>
      <c r="BY81" t="e">
        <f>AND(#REF!,"AAAAAF/z/0w=")</f>
        <v>#REF!</v>
      </c>
      <c r="BZ81" t="e">
        <f>AND(#REF!,"AAAAAF/z/00=")</f>
        <v>#REF!</v>
      </c>
      <c r="CA81" t="e">
        <f>AND(#REF!,"AAAAAF/z/04=")</f>
        <v>#REF!</v>
      </c>
      <c r="CB81" t="e">
        <f>AND(#REF!,"AAAAAF/z/08=")</f>
        <v>#REF!</v>
      </c>
      <c r="CC81" t="e">
        <f>AND(#REF!,"AAAAAF/z/1A=")</f>
        <v>#REF!</v>
      </c>
      <c r="CD81" t="e">
        <f>AND(#REF!,"AAAAAF/z/1E=")</f>
        <v>#REF!</v>
      </c>
      <c r="CE81" t="e">
        <f>AND(#REF!,"AAAAAF/z/1I=")</f>
        <v>#REF!</v>
      </c>
      <c r="CF81" t="e">
        <f>AND(#REF!,"AAAAAF/z/1M=")</f>
        <v>#REF!</v>
      </c>
      <c r="CG81" t="e">
        <f>AND(#REF!,"AAAAAF/z/1Q=")</f>
        <v>#REF!</v>
      </c>
      <c r="CH81" t="e">
        <f>AND(#REF!,"AAAAAF/z/1U=")</f>
        <v>#REF!</v>
      </c>
      <c r="CI81" t="e">
        <f>AND(#REF!,"AAAAAF/z/1Y=")</f>
        <v>#REF!</v>
      </c>
      <c r="CJ81" t="e">
        <f>AND(#REF!,"AAAAAF/z/1c=")</f>
        <v>#REF!</v>
      </c>
      <c r="CK81" t="e">
        <f>AND(#REF!,"AAAAAF/z/1g=")</f>
        <v>#REF!</v>
      </c>
      <c r="CL81" t="e">
        <f>AND(#REF!,"AAAAAF/z/1k=")</f>
        <v>#REF!</v>
      </c>
      <c r="CM81" t="e">
        <f>IF(#REF!,"AAAAAF/z/1o=",0)</f>
        <v>#REF!</v>
      </c>
      <c r="CN81" t="e">
        <f>AND(#REF!,"AAAAAF/z/1s=")</f>
        <v>#REF!</v>
      </c>
      <c r="CO81" t="e">
        <f>AND(#REF!,"AAAAAF/z/1w=")</f>
        <v>#REF!</v>
      </c>
      <c r="CP81" t="e">
        <f>AND(#REF!,"AAAAAF/z/10=")</f>
        <v>#REF!</v>
      </c>
      <c r="CQ81" t="e">
        <f>AND(#REF!,"AAAAAF/z/14=")</f>
        <v>#REF!</v>
      </c>
      <c r="CR81" t="e">
        <f>AND(#REF!,"AAAAAF/z/18=")</f>
        <v>#REF!</v>
      </c>
      <c r="CS81" t="e">
        <f>AND(#REF!,"AAAAAF/z/2A=")</f>
        <v>#REF!</v>
      </c>
      <c r="CT81" t="e">
        <f>AND(#REF!,"AAAAAF/z/2E=")</f>
        <v>#REF!</v>
      </c>
      <c r="CU81" t="e">
        <f>AND(#REF!,"AAAAAF/z/2I=")</f>
        <v>#REF!</v>
      </c>
      <c r="CV81" t="e">
        <f>AND(#REF!,"AAAAAF/z/2M=")</f>
        <v>#REF!</v>
      </c>
      <c r="CW81" t="e">
        <f>AND(#REF!,"AAAAAF/z/2Q=")</f>
        <v>#REF!</v>
      </c>
      <c r="CX81" t="e">
        <f>AND(#REF!,"AAAAAF/z/2U=")</f>
        <v>#REF!</v>
      </c>
      <c r="CY81" t="e">
        <f>AND(#REF!,"AAAAAF/z/2Y=")</f>
        <v>#REF!</v>
      </c>
      <c r="CZ81" t="e">
        <f>AND(#REF!,"AAAAAF/z/2c=")</f>
        <v>#REF!</v>
      </c>
      <c r="DA81" t="e">
        <f>AND(#REF!,"AAAAAF/z/2g=")</f>
        <v>#REF!</v>
      </c>
      <c r="DB81" t="e">
        <f>AND(#REF!,"AAAAAF/z/2k=")</f>
        <v>#REF!</v>
      </c>
      <c r="DC81" t="e">
        <f>IF(#REF!,"AAAAAF/z/2o=",0)</f>
        <v>#REF!</v>
      </c>
      <c r="DD81" t="e">
        <f>AND(#REF!,"AAAAAF/z/2s=")</f>
        <v>#REF!</v>
      </c>
      <c r="DE81" t="e">
        <f>AND(#REF!,"AAAAAF/z/2w=")</f>
        <v>#REF!</v>
      </c>
      <c r="DF81" t="e">
        <f>AND(#REF!,"AAAAAF/z/20=")</f>
        <v>#REF!</v>
      </c>
      <c r="DG81" t="e">
        <f>AND(#REF!,"AAAAAF/z/24=")</f>
        <v>#REF!</v>
      </c>
      <c r="DH81" t="e">
        <f>AND(#REF!,"AAAAAF/z/28=")</f>
        <v>#REF!</v>
      </c>
      <c r="DI81" t="e">
        <f>AND(#REF!,"AAAAAF/z/3A=")</f>
        <v>#REF!</v>
      </c>
      <c r="DJ81" t="e">
        <f>AND(#REF!,"AAAAAF/z/3E=")</f>
        <v>#REF!</v>
      </c>
      <c r="DK81" t="e">
        <f>AND(#REF!,"AAAAAF/z/3I=")</f>
        <v>#REF!</v>
      </c>
      <c r="DL81" t="e">
        <f>AND(#REF!,"AAAAAF/z/3M=")</f>
        <v>#REF!</v>
      </c>
      <c r="DM81" t="e">
        <f>AND(#REF!,"AAAAAF/z/3Q=")</f>
        <v>#REF!</v>
      </c>
      <c r="DN81" t="e">
        <f>AND(#REF!,"AAAAAF/z/3U=")</f>
        <v>#REF!</v>
      </c>
      <c r="DO81" t="e">
        <f>AND(#REF!,"AAAAAF/z/3Y=")</f>
        <v>#REF!</v>
      </c>
      <c r="DP81" t="e">
        <f>AND(#REF!,"AAAAAF/z/3c=")</f>
        <v>#REF!</v>
      </c>
      <c r="DQ81" t="e">
        <f>AND(#REF!,"AAAAAF/z/3g=")</f>
        <v>#REF!</v>
      </c>
      <c r="DR81" t="e">
        <f>AND(#REF!,"AAAAAF/z/3k=")</f>
        <v>#REF!</v>
      </c>
      <c r="DS81" t="e">
        <f>IF(#REF!,"AAAAAF/z/3o=",0)</f>
        <v>#REF!</v>
      </c>
      <c r="DT81" t="e">
        <f>AND(#REF!,"AAAAAF/z/3s=")</f>
        <v>#REF!</v>
      </c>
      <c r="DU81" t="e">
        <f>AND(#REF!,"AAAAAF/z/3w=")</f>
        <v>#REF!</v>
      </c>
      <c r="DV81" t="e">
        <f>AND(#REF!,"AAAAAF/z/30=")</f>
        <v>#REF!</v>
      </c>
      <c r="DW81" t="e">
        <f>AND(#REF!,"AAAAAF/z/34=")</f>
        <v>#REF!</v>
      </c>
      <c r="DX81" t="e">
        <f>AND(#REF!,"AAAAAF/z/38=")</f>
        <v>#REF!</v>
      </c>
      <c r="DY81" t="e">
        <f>AND(#REF!,"AAAAAF/z/4A=")</f>
        <v>#REF!</v>
      </c>
      <c r="DZ81" t="e">
        <f>AND(#REF!,"AAAAAF/z/4E=")</f>
        <v>#REF!</v>
      </c>
      <c r="EA81" t="e">
        <f>AND(#REF!,"AAAAAF/z/4I=")</f>
        <v>#REF!</v>
      </c>
      <c r="EB81" t="e">
        <f>AND(#REF!,"AAAAAF/z/4M=")</f>
        <v>#REF!</v>
      </c>
      <c r="EC81" t="e">
        <f>AND(#REF!,"AAAAAF/z/4Q=")</f>
        <v>#REF!</v>
      </c>
      <c r="ED81" t="e">
        <f>AND(#REF!,"AAAAAF/z/4U=")</f>
        <v>#REF!</v>
      </c>
      <c r="EE81" t="e">
        <f>AND(#REF!,"AAAAAF/z/4Y=")</f>
        <v>#REF!</v>
      </c>
      <c r="EF81" t="e">
        <f>AND(#REF!,"AAAAAF/z/4c=")</f>
        <v>#REF!</v>
      </c>
      <c r="EG81" t="e">
        <f>AND(#REF!,"AAAAAF/z/4g=")</f>
        <v>#REF!</v>
      </c>
      <c r="EH81" t="e">
        <f>AND(#REF!,"AAAAAF/z/4k=")</f>
        <v>#REF!</v>
      </c>
      <c r="EI81" t="e">
        <f>IF(#REF!,"AAAAAF/z/4o=",0)</f>
        <v>#REF!</v>
      </c>
      <c r="EJ81" t="e">
        <f>AND(#REF!,"AAAAAF/z/4s=")</f>
        <v>#REF!</v>
      </c>
      <c r="EK81" t="e">
        <f>AND(#REF!,"AAAAAF/z/4w=")</f>
        <v>#REF!</v>
      </c>
      <c r="EL81" t="e">
        <f>AND(#REF!,"AAAAAF/z/40=")</f>
        <v>#REF!</v>
      </c>
      <c r="EM81" t="e">
        <f>AND(#REF!,"AAAAAF/z/44=")</f>
        <v>#REF!</v>
      </c>
      <c r="EN81" t="e">
        <f>AND(#REF!,"AAAAAF/z/48=")</f>
        <v>#REF!</v>
      </c>
      <c r="EO81" t="e">
        <f>AND(#REF!,"AAAAAF/z/5A=")</f>
        <v>#REF!</v>
      </c>
      <c r="EP81" t="e">
        <f>AND(#REF!,"AAAAAF/z/5E=")</f>
        <v>#REF!</v>
      </c>
      <c r="EQ81" t="e">
        <f>AND(#REF!,"AAAAAF/z/5I=")</f>
        <v>#REF!</v>
      </c>
      <c r="ER81" t="e">
        <f>AND(#REF!,"AAAAAF/z/5M=")</f>
        <v>#REF!</v>
      </c>
      <c r="ES81" t="e">
        <f>AND(#REF!,"AAAAAF/z/5Q=")</f>
        <v>#REF!</v>
      </c>
      <c r="ET81" t="e">
        <f>AND(#REF!,"AAAAAF/z/5U=")</f>
        <v>#REF!</v>
      </c>
      <c r="EU81" t="e">
        <f>AND(#REF!,"AAAAAF/z/5Y=")</f>
        <v>#REF!</v>
      </c>
      <c r="EV81" t="e">
        <f>AND(#REF!,"AAAAAF/z/5c=")</f>
        <v>#REF!</v>
      </c>
      <c r="EW81" t="e">
        <f>AND(#REF!,"AAAAAF/z/5g=")</f>
        <v>#REF!</v>
      </c>
      <c r="EX81" t="e">
        <f>AND(#REF!,"AAAAAF/z/5k=")</f>
        <v>#REF!</v>
      </c>
      <c r="EY81" t="e">
        <f>IF(#REF!,"AAAAAF/z/5o=",0)</f>
        <v>#REF!</v>
      </c>
      <c r="EZ81" t="e">
        <f>AND(#REF!,"AAAAAF/z/5s=")</f>
        <v>#REF!</v>
      </c>
      <c r="FA81" t="e">
        <f>AND(#REF!,"AAAAAF/z/5w=")</f>
        <v>#REF!</v>
      </c>
      <c r="FB81" t="e">
        <f>AND(#REF!,"AAAAAF/z/50=")</f>
        <v>#REF!</v>
      </c>
      <c r="FC81" t="e">
        <f>AND(#REF!,"AAAAAF/z/54=")</f>
        <v>#REF!</v>
      </c>
      <c r="FD81" t="e">
        <f>AND(#REF!,"AAAAAF/z/58=")</f>
        <v>#REF!</v>
      </c>
      <c r="FE81" t="e">
        <f>AND(#REF!,"AAAAAF/z/6A=")</f>
        <v>#REF!</v>
      </c>
      <c r="FF81" t="e">
        <f>AND(#REF!,"AAAAAF/z/6E=")</f>
        <v>#REF!</v>
      </c>
      <c r="FG81" t="e">
        <f>AND(#REF!,"AAAAAF/z/6I=")</f>
        <v>#REF!</v>
      </c>
      <c r="FH81" t="e">
        <f>AND(#REF!,"AAAAAF/z/6M=")</f>
        <v>#REF!</v>
      </c>
      <c r="FI81" t="e">
        <f>AND(#REF!,"AAAAAF/z/6Q=")</f>
        <v>#REF!</v>
      </c>
      <c r="FJ81" t="e">
        <f>AND(#REF!,"AAAAAF/z/6U=")</f>
        <v>#REF!</v>
      </c>
      <c r="FK81" t="e">
        <f>AND(#REF!,"AAAAAF/z/6Y=")</f>
        <v>#REF!</v>
      </c>
      <c r="FL81" t="e">
        <f>AND(#REF!,"AAAAAF/z/6c=")</f>
        <v>#REF!</v>
      </c>
      <c r="FM81" t="e">
        <f>AND(#REF!,"AAAAAF/z/6g=")</f>
        <v>#REF!</v>
      </c>
      <c r="FN81" t="e">
        <f>AND(#REF!,"AAAAAF/z/6k=")</f>
        <v>#REF!</v>
      </c>
      <c r="FO81" t="e">
        <f>IF(#REF!,"AAAAAF/z/6o=",0)</f>
        <v>#REF!</v>
      </c>
      <c r="FP81" t="e">
        <f>AND(#REF!,"AAAAAF/z/6s=")</f>
        <v>#REF!</v>
      </c>
      <c r="FQ81" t="e">
        <f>AND(#REF!,"AAAAAF/z/6w=")</f>
        <v>#REF!</v>
      </c>
      <c r="FR81" t="e">
        <f>AND(#REF!,"AAAAAF/z/60=")</f>
        <v>#REF!</v>
      </c>
      <c r="FS81" t="e">
        <f>AND(#REF!,"AAAAAF/z/64=")</f>
        <v>#REF!</v>
      </c>
      <c r="FT81" t="e">
        <f>AND(#REF!,"AAAAAF/z/68=")</f>
        <v>#REF!</v>
      </c>
      <c r="FU81" t="e">
        <f>AND(#REF!,"AAAAAF/z/7A=")</f>
        <v>#REF!</v>
      </c>
      <c r="FV81" t="e">
        <f>AND(#REF!,"AAAAAF/z/7E=")</f>
        <v>#REF!</v>
      </c>
      <c r="FW81" t="e">
        <f>AND(#REF!,"AAAAAF/z/7I=")</f>
        <v>#REF!</v>
      </c>
      <c r="FX81" t="e">
        <f>AND(#REF!,"AAAAAF/z/7M=")</f>
        <v>#REF!</v>
      </c>
      <c r="FY81" t="e">
        <f>AND(#REF!,"AAAAAF/z/7Q=")</f>
        <v>#REF!</v>
      </c>
      <c r="FZ81" t="e">
        <f>AND(#REF!,"AAAAAF/z/7U=")</f>
        <v>#REF!</v>
      </c>
      <c r="GA81" t="e">
        <f>AND(#REF!,"AAAAAF/z/7Y=")</f>
        <v>#REF!</v>
      </c>
      <c r="GB81" t="e">
        <f>AND(#REF!,"AAAAAF/z/7c=")</f>
        <v>#REF!</v>
      </c>
      <c r="GC81" t="e">
        <f>AND(#REF!,"AAAAAF/z/7g=")</f>
        <v>#REF!</v>
      </c>
      <c r="GD81" t="e">
        <f>AND(#REF!,"AAAAAF/z/7k=")</f>
        <v>#REF!</v>
      </c>
      <c r="GE81" t="e">
        <f>IF(#REF!,"AAAAAF/z/7o=",0)</f>
        <v>#REF!</v>
      </c>
      <c r="GF81" t="e">
        <f>AND(#REF!,"AAAAAF/z/7s=")</f>
        <v>#REF!</v>
      </c>
      <c r="GG81" t="e">
        <f>AND(#REF!,"AAAAAF/z/7w=")</f>
        <v>#REF!</v>
      </c>
      <c r="GH81" t="e">
        <f>AND(#REF!,"AAAAAF/z/70=")</f>
        <v>#REF!</v>
      </c>
      <c r="GI81" t="e">
        <f>AND(#REF!,"AAAAAF/z/74=")</f>
        <v>#REF!</v>
      </c>
      <c r="GJ81" t="e">
        <f>AND(#REF!,"AAAAAF/z/78=")</f>
        <v>#REF!</v>
      </c>
      <c r="GK81" t="e">
        <f>AND(#REF!,"AAAAAF/z/8A=")</f>
        <v>#REF!</v>
      </c>
      <c r="GL81" t="e">
        <f>AND(#REF!,"AAAAAF/z/8E=")</f>
        <v>#REF!</v>
      </c>
      <c r="GM81" t="e">
        <f>AND(#REF!,"AAAAAF/z/8I=")</f>
        <v>#REF!</v>
      </c>
      <c r="GN81" t="e">
        <f>AND(#REF!,"AAAAAF/z/8M=")</f>
        <v>#REF!</v>
      </c>
      <c r="GO81" t="e">
        <f>AND(#REF!,"AAAAAF/z/8Q=")</f>
        <v>#REF!</v>
      </c>
      <c r="GP81" t="e">
        <f>AND(#REF!,"AAAAAF/z/8U=")</f>
        <v>#REF!</v>
      </c>
      <c r="GQ81" t="e">
        <f>AND(#REF!,"AAAAAF/z/8Y=")</f>
        <v>#REF!</v>
      </c>
      <c r="GR81" t="e">
        <f>AND(#REF!,"AAAAAF/z/8c=")</f>
        <v>#REF!</v>
      </c>
      <c r="GS81" t="e">
        <f>AND(#REF!,"AAAAAF/z/8g=")</f>
        <v>#REF!</v>
      </c>
      <c r="GT81" t="e">
        <f>AND(#REF!,"AAAAAF/z/8k=")</f>
        <v>#REF!</v>
      </c>
      <c r="GU81" t="e">
        <f>IF(#REF!,"AAAAAF/z/8o=",0)</f>
        <v>#REF!</v>
      </c>
      <c r="GV81" t="e">
        <f>AND(#REF!,"AAAAAF/z/8s=")</f>
        <v>#REF!</v>
      </c>
      <c r="GW81" t="e">
        <f>AND(#REF!,"AAAAAF/z/8w=")</f>
        <v>#REF!</v>
      </c>
      <c r="GX81" t="e">
        <f>AND(#REF!,"AAAAAF/z/80=")</f>
        <v>#REF!</v>
      </c>
      <c r="GY81" t="e">
        <f>AND(#REF!,"AAAAAF/z/84=")</f>
        <v>#REF!</v>
      </c>
      <c r="GZ81" t="e">
        <f>AND(#REF!,"AAAAAF/z/88=")</f>
        <v>#REF!</v>
      </c>
      <c r="HA81" t="e">
        <f>AND(#REF!,"AAAAAF/z/9A=")</f>
        <v>#REF!</v>
      </c>
      <c r="HB81" t="e">
        <f>AND(#REF!,"AAAAAF/z/9E=")</f>
        <v>#REF!</v>
      </c>
      <c r="HC81" t="e">
        <f>AND(#REF!,"AAAAAF/z/9I=")</f>
        <v>#REF!</v>
      </c>
      <c r="HD81" t="e">
        <f>AND(#REF!,"AAAAAF/z/9M=")</f>
        <v>#REF!</v>
      </c>
      <c r="HE81" t="e">
        <f>AND(#REF!,"AAAAAF/z/9Q=")</f>
        <v>#REF!</v>
      </c>
      <c r="HF81" t="e">
        <f>AND(#REF!,"AAAAAF/z/9U=")</f>
        <v>#REF!</v>
      </c>
      <c r="HG81" t="e">
        <f>AND(#REF!,"AAAAAF/z/9Y=")</f>
        <v>#REF!</v>
      </c>
      <c r="HH81" t="e">
        <f>AND(#REF!,"AAAAAF/z/9c=")</f>
        <v>#REF!</v>
      </c>
      <c r="HI81" t="e">
        <f>AND(#REF!,"AAAAAF/z/9g=")</f>
        <v>#REF!</v>
      </c>
      <c r="HJ81" t="e">
        <f>AND(#REF!,"AAAAAF/z/9k=")</f>
        <v>#REF!</v>
      </c>
      <c r="HK81" t="e">
        <f>IF(#REF!,"AAAAAF/z/9o=",0)</f>
        <v>#REF!</v>
      </c>
      <c r="HL81" t="e">
        <f>AND(#REF!,"AAAAAF/z/9s=")</f>
        <v>#REF!</v>
      </c>
      <c r="HM81" t="e">
        <f>AND(#REF!,"AAAAAF/z/9w=")</f>
        <v>#REF!</v>
      </c>
      <c r="HN81" t="e">
        <f>AND(#REF!,"AAAAAF/z/90=")</f>
        <v>#REF!</v>
      </c>
      <c r="HO81" t="e">
        <f>AND(#REF!,"AAAAAF/z/94=")</f>
        <v>#REF!</v>
      </c>
      <c r="HP81" t="e">
        <f>AND(#REF!,"AAAAAF/z/98=")</f>
        <v>#REF!</v>
      </c>
      <c r="HQ81" t="e">
        <f>AND(#REF!,"AAAAAF/z/+A=")</f>
        <v>#REF!</v>
      </c>
      <c r="HR81" t="e">
        <f>AND(#REF!,"AAAAAF/z/+E=")</f>
        <v>#REF!</v>
      </c>
      <c r="HS81" t="e">
        <f>AND(#REF!,"AAAAAF/z/+I=")</f>
        <v>#REF!</v>
      </c>
      <c r="HT81" t="e">
        <f>AND(#REF!,"AAAAAF/z/+M=")</f>
        <v>#REF!</v>
      </c>
      <c r="HU81" t="e">
        <f>AND(#REF!,"AAAAAF/z/+Q=")</f>
        <v>#REF!</v>
      </c>
      <c r="HV81" t="e">
        <f>AND(#REF!,"AAAAAF/z/+U=")</f>
        <v>#REF!</v>
      </c>
      <c r="HW81" t="e">
        <f>AND(#REF!,"AAAAAF/z/+Y=")</f>
        <v>#REF!</v>
      </c>
      <c r="HX81" t="e">
        <f>AND(#REF!,"AAAAAF/z/+c=")</f>
        <v>#REF!</v>
      </c>
      <c r="HY81" t="e">
        <f>AND(#REF!,"AAAAAF/z/+g=")</f>
        <v>#REF!</v>
      </c>
      <c r="HZ81" t="e">
        <f>AND(#REF!,"AAAAAF/z/+k=")</f>
        <v>#REF!</v>
      </c>
      <c r="IA81" t="e">
        <f>IF(#REF!,"AAAAAF/z/+o=",0)</f>
        <v>#REF!</v>
      </c>
      <c r="IB81" t="e">
        <f>AND(#REF!,"AAAAAF/z/+s=")</f>
        <v>#REF!</v>
      </c>
      <c r="IC81" t="e">
        <f>AND(#REF!,"AAAAAF/z/+w=")</f>
        <v>#REF!</v>
      </c>
      <c r="ID81" t="e">
        <f>AND(#REF!,"AAAAAF/z/+0=")</f>
        <v>#REF!</v>
      </c>
      <c r="IE81" t="e">
        <f>AND(#REF!,"AAAAAF/z/+4=")</f>
        <v>#REF!</v>
      </c>
      <c r="IF81" t="e">
        <f>AND(#REF!,"AAAAAF/z/+8=")</f>
        <v>#REF!</v>
      </c>
      <c r="IG81" t="e">
        <f>AND(#REF!,"AAAAAF/z//A=")</f>
        <v>#REF!</v>
      </c>
      <c r="IH81" t="e">
        <f>AND(#REF!,"AAAAAF/z//E=")</f>
        <v>#REF!</v>
      </c>
      <c r="II81" t="e">
        <f>AND(#REF!,"AAAAAF/z//I=")</f>
        <v>#REF!</v>
      </c>
      <c r="IJ81" t="e">
        <f>AND(#REF!,"AAAAAF/z//M=")</f>
        <v>#REF!</v>
      </c>
      <c r="IK81" t="e">
        <f>AND(#REF!,"AAAAAF/z//Q=")</f>
        <v>#REF!</v>
      </c>
      <c r="IL81" t="e">
        <f>AND(#REF!,"AAAAAF/z//U=")</f>
        <v>#REF!</v>
      </c>
      <c r="IM81" t="e">
        <f>AND(#REF!,"AAAAAF/z//Y=")</f>
        <v>#REF!</v>
      </c>
      <c r="IN81" t="e">
        <f>AND(#REF!,"AAAAAF/z//c=")</f>
        <v>#REF!</v>
      </c>
      <c r="IO81" t="e">
        <f>AND(#REF!,"AAAAAF/z//g=")</f>
        <v>#REF!</v>
      </c>
      <c r="IP81" t="e">
        <f>AND(#REF!,"AAAAAF/z//k=")</f>
        <v>#REF!</v>
      </c>
      <c r="IQ81" t="e">
        <f>IF(#REF!,"AAAAAF/z//o=",0)</f>
        <v>#REF!</v>
      </c>
      <c r="IR81" t="e">
        <f>AND(#REF!,"AAAAAF/z//s=")</f>
        <v>#REF!</v>
      </c>
      <c r="IS81" t="e">
        <f>AND(#REF!,"AAAAAF/z//w=")</f>
        <v>#REF!</v>
      </c>
      <c r="IT81" t="e">
        <f>AND(#REF!,"AAAAAF/z//0=")</f>
        <v>#REF!</v>
      </c>
      <c r="IU81" t="e">
        <f>AND(#REF!,"AAAAAF/z//4=")</f>
        <v>#REF!</v>
      </c>
      <c r="IV81" t="e">
        <f>AND(#REF!,"AAAAAF/z//8=")</f>
        <v>#REF!</v>
      </c>
    </row>
    <row r="82" spans="1:256" x14ac:dyDescent="0.15">
      <c r="A82" t="e">
        <f>AND(#REF!,"AAAAAG48/wA=")</f>
        <v>#REF!</v>
      </c>
      <c r="B82" t="e">
        <f>AND(#REF!,"AAAAAG48/wE=")</f>
        <v>#REF!</v>
      </c>
      <c r="C82" t="e">
        <f>AND(#REF!,"AAAAAG48/wI=")</f>
        <v>#REF!</v>
      </c>
      <c r="D82" t="e">
        <f>AND(#REF!,"AAAAAG48/wM=")</f>
        <v>#REF!</v>
      </c>
      <c r="E82" t="e">
        <f>AND(#REF!,"AAAAAG48/wQ=")</f>
        <v>#REF!</v>
      </c>
      <c r="F82" t="e">
        <f>AND(#REF!,"AAAAAG48/wU=")</f>
        <v>#REF!</v>
      </c>
      <c r="G82" t="e">
        <f>AND(#REF!,"AAAAAG48/wY=")</f>
        <v>#REF!</v>
      </c>
      <c r="H82" t="e">
        <f>AND(#REF!,"AAAAAG48/wc=")</f>
        <v>#REF!</v>
      </c>
      <c r="I82" t="e">
        <f>AND(#REF!,"AAAAAG48/wg=")</f>
        <v>#REF!</v>
      </c>
      <c r="J82" t="e">
        <f>AND(#REF!,"AAAAAG48/wk=")</f>
        <v>#REF!</v>
      </c>
      <c r="K82" t="e">
        <f>IF(#REF!,"AAAAAG48/wo=",0)</f>
        <v>#REF!</v>
      </c>
      <c r="L82" t="e">
        <f>AND(#REF!,"AAAAAG48/ws=")</f>
        <v>#REF!</v>
      </c>
      <c r="M82" t="e">
        <f>AND(#REF!,"AAAAAG48/ww=")</f>
        <v>#REF!</v>
      </c>
      <c r="N82" t="e">
        <f>AND(#REF!,"AAAAAG48/w0=")</f>
        <v>#REF!</v>
      </c>
      <c r="O82" t="e">
        <f>AND(#REF!,"AAAAAG48/w4=")</f>
        <v>#REF!</v>
      </c>
      <c r="P82" t="e">
        <f>AND(#REF!,"AAAAAG48/w8=")</f>
        <v>#REF!</v>
      </c>
      <c r="Q82" t="e">
        <f>AND(#REF!,"AAAAAG48/xA=")</f>
        <v>#REF!</v>
      </c>
      <c r="R82" t="e">
        <f>AND(#REF!,"AAAAAG48/xE=")</f>
        <v>#REF!</v>
      </c>
      <c r="S82" t="e">
        <f>AND(#REF!,"AAAAAG48/xI=")</f>
        <v>#REF!</v>
      </c>
      <c r="T82" t="e">
        <f>AND(#REF!,"AAAAAG48/xM=")</f>
        <v>#REF!</v>
      </c>
      <c r="U82" t="e">
        <f>AND(#REF!,"AAAAAG48/xQ=")</f>
        <v>#REF!</v>
      </c>
      <c r="V82" t="e">
        <f>AND(#REF!,"AAAAAG48/xU=")</f>
        <v>#REF!</v>
      </c>
      <c r="W82" t="e">
        <f>AND(#REF!,"AAAAAG48/xY=")</f>
        <v>#REF!</v>
      </c>
      <c r="X82" t="e">
        <f>AND(#REF!,"AAAAAG48/xc=")</f>
        <v>#REF!</v>
      </c>
      <c r="Y82" t="e">
        <f>AND(#REF!,"AAAAAG48/xg=")</f>
        <v>#REF!</v>
      </c>
      <c r="Z82" t="e">
        <f>AND(#REF!,"AAAAAG48/xk=")</f>
        <v>#REF!</v>
      </c>
      <c r="AA82" t="e">
        <f>IF(#REF!,"AAAAAG48/xo=",0)</f>
        <v>#REF!</v>
      </c>
      <c r="AB82" t="e">
        <f>AND(#REF!,"AAAAAG48/xs=")</f>
        <v>#REF!</v>
      </c>
      <c r="AC82" t="e">
        <f>AND(#REF!,"AAAAAG48/xw=")</f>
        <v>#REF!</v>
      </c>
      <c r="AD82" t="e">
        <f>AND(#REF!,"AAAAAG48/x0=")</f>
        <v>#REF!</v>
      </c>
      <c r="AE82" t="e">
        <f>AND(#REF!,"AAAAAG48/x4=")</f>
        <v>#REF!</v>
      </c>
      <c r="AF82" t="e">
        <f>AND(#REF!,"AAAAAG48/x8=")</f>
        <v>#REF!</v>
      </c>
      <c r="AG82" t="e">
        <f>AND(#REF!,"AAAAAG48/yA=")</f>
        <v>#REF!</v>
      </c>
      <c r="AH82" t="e">
        <f>AND(#REF!,"AAAAAG48/yE=")</f>
        <v>#REF!</v>
      </c>
      <c r="AI82" t="e">
        <f>AND(#REF!,"AAAAAG48/yI=")</f>
        <v>#REF!</v>
      </c>
      <c r="AJ82" t="e">
        <f>AND(#REF!,"AAAAAG48/yM=")</f>
        <v>#REF!</v>
      </c>
      <c r="AK82" t="e">
        <f>AND(#REF!,"AAAAAG48/yQ=")</f>
        <v>#REF!</v>
      </c>
      <c r="AL82" t="e">
        <f>AND(#REF!,"AAAAAG48/yU=")</f>
        <v>#REF!</v>
      </c>
      <c r="AM82" t="e">
        <f>AND(#REF!,"AAAAAG48/yY=")</f>
        <v>#REF!</v>
      </c>
      <c r="AN82" t="e">
        <f>AND(#REF!,"AAAAAG48/yc=")</f>
        <v>#REF!</v>
      </c>
      <c r="AO82" t="e">
        <f>AND(#REF!,"AAAAAG48/yg=")</f>
        <v>#REF!</v>
      </c>
      <c r="AP82" t="e">
        <f>AND(#REF!,"AAAAAG48/yk=")</f>
        <v>#REF!</v>
      </c>
      <c r="AQ82" t="e">
        <f>IF(#REF!,"AAAAAG48/yo=",0)</f>
        <v>#REF!</v>
      </c>
      <c r="AR82" t="e">
        <f>AND(#REF!,"AAAAAG48/ys=")</f>
        <v>#REF!</v>
      </c>
      <c r="AS82" t="e">
        <f>AND(#REF!,"AAAAAG48/yw=")</f>
        <v>#REF!</v>
      </c>
      <c r="AT82" t="e">
        <f>AND(#REF!,"AAAAAG48/y0=")</f>
        <v>#REF!</v>
      </c>
      <c r="AU82" t="e">
        <f>AND(#REF!,"AAAAAG48/y4=")</f>
        <v>#REF!</v>
      </c>
      <c r="AV82" t="e">
        <f>AND(#REF!,"AAAAAG48/y8=")</f>
        <v>#REF!</v>
      </c>
      <c r="AW82" t="e">
        <f>AND(#REF!,"AAAAAG48/zA=")</f>
        <v>#REF!</v>
      </c>
      <c r="AX82" t="e">
        <f>AND(#REF!,"AAAAAG48/zE=")</f>
        <v>#REF!</v>
      </c>
      <c r="AY82" t="e">
        <f>AND(#REF!,"AAAAAG48/zI=")</f>
        <v>#REF!</v>
      </c>
      <c r="AZ82" t="e">
        <f>AND(#REF!,"AAAAAG48/zM=")</f>
        <v>#REF!</v>
      </c>
      <c r="BA82" t="e">
        <f>AND(#REF!,"AAAAAG48/zQ=")</f>
        <v>#REF!</v>
      </c>
      <c r="BB82" t="e">
        <f>AND(#REF!,"AAAAAG48/zU=")</f>
        <v>#REF!</v>
      </c>
      <c r="BC82" t="e">
        <f>AND(#REF!,"AAAAAG48/zY=")</f>
        <v>#REF!</v>
      </c>
      <c r="BD82" t="e">
        <f>AND(#REF!,"AAAAAG48/zc=")</f>
        <v>#REF!</v>
      </c>
      <c r="BE82" t="e">
        <f>AND(#REF!,"AAAAAG48/zg=")</f>
        <v>#REF!</v>
      </c>
      <c r="BF82" t="e">
        <f>AND(#REF!,"AAAAAG48/zk=")</f>
        <v>#REF!</v>
      </c>
      <c r="BG82" t="e">
        <f>IF(#REF!,"AAAAAG48/zo=",0)</f>
        <v>#REF!</v>
      </c>
      <c r="BH82" t="e">
        <f>AND(#REF!,"AAAAAG48/zs=")</f>
        <v>#REF!</v>
      </c>
      <c r="BI82" t="e">
        <f>AND(#REF!,"AAAAAG48/zw=")</f>
        <v>#REF!</v>
      </c>
      <c r="BJ82" t="e">
        <f>AND(#REF!,"AAAAAG48/z0=")</f>
        <v>#REF!</v>
      </c>
      <c r="BK82" t="e">
        <f>AND(#REF!,"AAAAAG48/z4=")</f>
        <v>#REF!</v>
      </c>
      <c r="BL82" t="e">
        <f>AND(#REF!,"AAAAAG48/z8=")</f>
        <v>#REF!</v>
      </c>
      <c r="BM82" t="e">
        <f>AND(#REF!,"AAAAAG48/0A=")</f>
        <v>#REF!</v>
      </c>
      <c r="BN82" t="e">
        <f>AND(#REF!,"AAAAAG48/0E=")</f>
        <v>#REF!</v>
      </c>
      <c r="BO82" t="e">
        <f>AND(#REF!,"AAAAAG48/0I=")</f>
        <v>#REF!</v>
      </c>
      <c r="BP82" t="e">
        <f>AND(#REF!,"AAAAAG48/0M=")</f>
        <v>#REF!</v>
      </c>
      <c r="BQ82" t="e">
        <f>AND(#REF!,"AAAAAG48/0Q=")</f>
        <v>#REF!</v>
      </c>
      <c r="BR82" t="e">
        <f>AND(#REF!,"AAAAAG48/0U=")</f>
        <v>#REF!</v>
      </c>
      <c r="BS82" t="e">
        <f>AND(#REF!,"AAAAAG48/0Y=")</f>
        <v>#REF!</v>
      </c>
      <c r="BT82" t="e">
        <f>AND(#REF!,"AAAAAG48/0c=")</f>
        <v>#REF!</v>
      </c>
      <c r="BU82" t="e">
        <f>AND(#REF!,"AAAAAG48/0g=")</f>
        <v>#REF!</v>
      </c>
      <c r="BV82" t="e">
        <f>AND(#REF!,"AAAAAG48/0k=")</f>
        <v>#REF!</v>
      </c>
      <c r="BW82" t="e">
        <f>IF(#REF!,"AAAAAG48/0o=",0)</f>
        <v>#REF!</v>
      </c>
      <c r="BX82" t="e">
        <f>AND(#REF!,"AAAAAG48/0s=")</f>
        <v>#REF!</v>
      </c>
      <c r="BY82" t="e">
        <f>AND(#REF!,"AAAAAG48/0w=")</f>
        <v>#REF!</v>
      </c>
      <c r="BZ82" t="e">
        <f>AND(#REF!,"AAAAAG48/00=")</f>
        <v>#REF!</v>
      </c>
      <c r="CA82" t="e">
        <f>AND(#REF!,"AAAAAG48/04=")</f>
        <v>#REF!</v>
      </c>
      <c r="CB82" t="e">
        <f>AND(#REF!,"AAAAAG48/08=")</f>
        <v>#REF!</v>
      </c>
      <c r="CC82" t="e">
        <f>AND(#REF!,"AAAAAG48/1A=")</f>
        <v>#REF!</v>
      </c>
      <c r="CD82" t="e">
        <f>AND(#REF!,"AAAAAG48/1E=")</f>
        <v>#REF!</v>
      </c>
      <c r="CE82" t="e">
        <f>AND(#REF!,"AAAAAG48/1I=")</f>
        <v>#REF!</v>
      </c>
      <c r="CF82" t="e">
        <f>AND(#REF!,"AAAAAG48/1M=")</f>
        <v>#REF!</v>
      </c>
      <c r="CG82" t="e">
        <f>AND(#REF!,"AAAAAG48/1Q=")</f>
        <v>#REF!</v>
      </c>
      <c r="CH82" t="e">
        <f>AND(#REF!,"AAAAAG48/1U=")</f>
        <v>#REF!</v>
      </c>
      <c r="CI82" t="e">
        <f>AND(#REF!,"AAAAAG48/1Y=")</f>
        <v>#REF!</v>
      </c>
      <c r="CJ82" t="e">
        <f>AND(#REF!,"AAAAAG48/1c=")</f>
        <v>#REF!</v>
      </c>
      <c r="CK82" t="e">
        <f>AND(#REF!,"AAAAAG48/1g=")</f>
        <v>#REF!</v>
      </c>
      <c r="CL82" t="e">
        <f>AND(#REF!,"AAAAAG48/1k=")</f>
        <v>#REF!</v>
      </c>
      <c r="CM82" t="e">
        <f>IF(#REF!,"AAAAAG48/1o=",0)</f>
        <v>#REF!</v>
      </c>
      <c r="CN82" t="e">
        <f>AND(#REF!,"AAAAAG48/1s=")</f>
        <v>#REF!</v>
      </c>
      <c r="CO82" t="e">
        <f>AND(#REF!,"AAAAAG48/1w=")</f>
        <v>#REF!</v>
      </c>
      <c r="CP82" t="e">
        <f>AND(#REF!,"AAAAAG48/10=")</f>
        <v>#REF!</v>
      </c>
      <c r="CQ82" t="e">
        <f>AND(#REF!,"AAAAAG48/14=")</f>
        <v>#REF!</v>
      </c>
      <c r="CR82" t="e">
        <f>AND(#REF!,"AAAAAG48/18=")</f>
        <v>#REF!</v>
      </c>
      <c r="CS82" t="e">
        <f>AND(#REF!,"AAAAAG48/2A=")</f>
        <v>#REF!</v>
      </c>
      <c r="CT82" t="e">
        <f>AND(#REF!,"AAAAAG48/2E=")</f>
        <v>#REF!</v>
      </c>
      <c r="CU82" t="e">
        <f>AND(#REF!,"AAAAAG48/2I=")</f>
        <v>#REF!</v>
      </c>
      <c r="CV82" t="e">
        <f>AND(#REF!,"AAAAAG48/2M=")</f>
        <v>#REF!</v>
      </c>
      <c r="CW82" t="e">
        <f>AND(#REF!,"AAAAAG48/2Q=")</f>
        <v>#REF!</v>
      </c>
      <c r="CX82" t="e">
        <f>AND(#REF!,"AAAAAG48/2U=")</f>
        <v>#REF!</v>
      </c>
      <c r="CY82" t="e">
        <f>AND(#REF!,"AAAAAG48/2Y=")</f>
        <v>#REF!</v>
      </c>
      <c r="CZ82" t="e">
        <f>AND(#REF!,"AAAAAG48/2c=")</f>
        <v>#REF!</v>
      </c>
      <c r="DA82" t="e">
        <f>AND(#REF!,"AAAAAG48/2g=")</f>
        <v>#REF!</v>
      </c>
      <c r="DB82" t="e">
        <f>AND(#REF!,"AAAAAG48/2k=")</f>
        <v>#REF!</v>
      </c>
      <c r="DC82" t="e">
        <f>IF(#REF!,"AAAAAG48/2o=",0)</f>
        <v>#REF!</v>
      </c>
      <c r="DD82" t="e">
        <f>AND(#REF!,"AAAAAG48/2s=")</f>
        <v>#REF!</v>
      </c>
      <c r="DE82" t="e">
        <f>AND(#REF!,"AAAAAG48/2w=")</f>
        <v>#REF!</v>
      </c>
      <c r="DF82" t="e">
        <f>AND(#REF!,"AAAAAG48/20=")</f>
        <v>#REF!</v>
      </c>
      <c r="DG82" t="e">
        <f>AND(#REF!,"AAAAAG48/24=")</f>
        <v>#REF!</v>
      </c>
      <c r="DH82" t="e">
        <f>AND(#REF!,"AAAAAG48/28=")</f>
        <v>#REF!</v>
      </c>
      <c r="DI82" t="e">
        <f>AND(#REF!,"AAAAAG48/3A=")</f>
        <v>#REF!</v>
      </c>
      <c r="DJ82" t="e">
        <f>AND(#REF!,"AAAAAG48/3E=")</f>
        <v>#REF!</v>
      </c>
      <c r="DK82" t="e">
        <f>AND(#REF!,"AAAAAG48/3I=")</f>
        <v>#REF!</v>
      </c>
      <c r="DL82" t="e">
        <f>AND(#REF!,"AAAAAG48/3M=")</f>
        <v>#REF!</v>
      </c>
      <c r="DM82" t="e">
        <f>AND(#REF!,"AAAAAG48/3Q=")</f>
        <v>#REF!</v>
      </c>
      <c r="DN82" t="e">
        <f>AND(#REF!,"AAAAAG48/3U=")</f>
        <v>#REF!</v>
      </c>
      <c r="DO82" t="e">
        <f>AND(#REF!,"AAAAAG48/3Y=")</f>
        <v>#REF!</v>
      </c>
      <c r="DP82" t="e">
        <f>AND(#REF!,"AAAAAG48/3c=")</f>
        <v>#REF!</v>
      </c>
      <c r="DQ82" t="e">
        <f>AND(#REF!,"AAAAAG48/3g=")</f>
        <v>#REF!</v>
      </c>
      <c r="DR82" t="e">
        <f>AND(#REF!,"AAAAAG48/3k=")</f>
        <v>#REF!</v>
      </c>
      <c r="DS82" t="e">
        <f>IF(#REF!,"AAAAAG48/3o=",0)</f>
        <v>#REF!</v>
      </c>
      <c r="DT82" t="e">
        <f>AND(#REF!,"AAAAAG48/3s=")</f>
        <v>#REF!</v>
      </c>
      <c r="DU82" t="e">
        <f>AND(#REF!,"AAAAAG48/3w=")</f>
        <v>#REF!</v>
      </c>
      <c r="DV82" t="e">
        <f>AND(#REF!,"AAAAAG48/30=")</f>
        <v>#REF!</v>
      </c>
      <c r="DW82" t="e">
        <f>AND(#REF!,"AAAAAG48/34=")</f>
        <v>#REF!</v>
      </c>
      <c r="DX82" t="e">
        <f>AND(#REF!,"AAAAAG48/38=")</f>
        <v>#REF!</v>
      </c>
      <c r="DY82" t="e">
        <f>AND(#REF!,"AAAAAG48/4A=")</f>
        <v>#REF!</v>
      </c>
      <c r="DZ82" t="e">
        <f>AND(#REF!,"AAAAAG48/4E=")</f>
        <v>#REF!</v>
      </c>
      <c r="EA82" t="e">
        <f>AND(#REF!,"AAAAAG48/4I=")</f>
        <v>#REF!</v>
      </c>
      <c r="EB82" t="e">
        <f>AND(#REF!,"AAAAAG48/4M=")</f>
        <v>#REF!</v>
      </c>
      <c r="EC82" t="e">
        <f>AND(#REF!,"AAAAAG48/4Q=")</f>
        <v>#REF!</v>
      </c>
      <c r="ED82" t="e">
        <f>AND(#REF!,"AAAAAG48/4U=")</f>
        <v>#REF!</v>
      </c>
      <c r="EE82" t="e">
        <f>AND(#REF!,"AAAAAG48/4Y=")</f>
        <v>#REF!</v>
      </c>
      <c r="EF82" t="e">
        <f>AND(#REF!,"AAAAAG48/4c=")</f>
        <v>#REF!</v>
      </c>
      <c r="EG82" t="e">
        <f>AND(#REF!,"AAAAAG48/4g=")</f>
        <v>#REF!</v>
      </c>
      <c r="EH82" t="e">
        <f>AND(#REF!,"AAAAAG48/4k=")</f>
        <v>#REF!</v>
      </c>
      <c r="EI82" t="e">
        <f>IF(#REF!,"AAAAAG48/4o=",0)</f>
        <v>#REF!</v>
      </c>
      <c r="EJ82" t="e">
        <f>AND(#REF!,"AAAAAG48/4s=")</f>
        <v>#REF!</v>
      </c>
      <c r="EK82" t="e">
        <f>AND(#REF!,"AAAAAG48/4w=")</f>
        <v>#REF!</v>
      </c>
      <c r="EL82" t="e">
        <f>AND(#REF!,"AAAAAG48/40=")</f>
        <v>#REF!</v>
      </c>
      <c r="EM82" t="e">
        <f>AND(#REF!,"AAAAAG48/44=")</f>
        <v>#REF!</v>
      </c>
      <c r="EN82" t="e">
        <f>AND(#REF!,"AAAAAG48/48=")</f>
        <v>#REF!</v>
      </c>
      <c r="EO82" t="e">
        <f>AND(#REF!,"AAAAAG48/5A=")</f>
        <v>#REF!</v>
      </c>
      <c r="EP82" t="e">
        <f>AND(#REF!,"AAAAAG48/5E=")</f>
        <v>#REF!</v>
      </c>
      <c r="EQ82" t="e">
        <f>AND(#REF!,"AAAAAG48/5I=")</f>
        <v>#REF!</v>
      </c>
      <c r="ER82" t="e">
        <f>AND(#REF!,"AAAAAG48/5M=")</f>
        <v>#REF!</v>
      </c>
      <c r="ES82" t="e">
        <f>AND(#REF!,"AAAAAG48/5Q=")</f>
        <v>#REF!</v>
      </c>
      <c r="ET82" t="e">
        <f>AND(#REF!,"AAAAAG48/5U=")</f>
        <v>#REF!</v>
      </c>
      <c r="EU82" t="e">
        <f>AND(#REF!,"AAAAAG48/5Y=")</f>
        <v>#REF!</v>
      </c>
      <c r="EV82" t="e">
        <f>AND(#REF!,"AAAAAG48/5c=")</f>
        <v>#REF!</v>
      </c>
      <c r="EW82" t="e">
        <f>AND(#REF!,"AAAAAG48/5g=")</f>
        <v>#REF!</v>
      </c>
      <c r="EX82" t="e">
        <f>AND(#REF!,"AAAAAG48/5k=")</f>
        <v>#REF!</v>
      </c>
      <c r="EY82" t="e">
        <f>IF(#REF!,"AAAAAG48/5o=",0)</f>
        <v>#REF!</v>
      </c>
      <c r="EZ82" t="e">
        <f>AND(#REF!,"AAAAAG48/5s=")</f>
        <v>#REF!</v>
      </c>
      <c r="FA82" t="e">
        <f>AND(#REF!,"AAAAAG48/5w=")</f>
        <v>#REF!</v>
      </c>
      <c r="FB82" t="e">
        <f>AND(#REF!,"AAAAAG48/50=")</f>
        <v>#REF!</v>
      </c>
      <c r="FC82" t="e">
        <f>AND(#REF!,"AAAAAG48/54=")</f>
        <v>#REF!</v>
      </c>
      <c r="FD82" t="e">
        <f>AND(#REF!,"AAAAAG48/58=")</f>
        <v>#REF!</v>
      </c>
      <c r="FE82" t="e">
        <f>AND(#REF!,"AAAAAG48/6A=")</f>
        <v>#REF!</v>
      </c>
      <c r="FF82" t="e">
        <f>AND(#REF!,"AAAAAG48/6E=")</f>
        <v>#REF!</v>
      </c>
      <c r="FG82" t="e">
        <f>AND(#REF!,"AAAAAG48/6I=")</f>
        <v>#REF!</v>
      </c>
      <c r="FH82" t="e">
        <f>AND(#REF!,"AAAAAG48/6M=")</f>
        <v>#REF!</v>
      </c>
      <c r="FI82" t="e">
        <f>AND(#REF!,"AAAAAG48/6Q=")</f>
        <v>#REF!</v>
      </c>
      <c r="FJ82" t="e">
        <f>AND(#REF!,"AAAAAG48/6U=")</f>
        <v>#REF!</v>
      </c>
      <c r="FK82" t="e">
        <f>AND(#REF!,"AAAAAG48/6Y=")</f>
        <v>#REF!</v>
      </c>
      <c r="FL82" t="e">
        <f>AND(#REF!,"AAAAAG48/6c=")</f>
        <v>#REF!</v>
      </c>
      <c r="FM82" t="e">
        <f>AND(#REF!,"AAAAAG48/6g=")</f>
        <v>#REF!</v>
      </c>
      <c r="FN82" t="e">
        <f>AND(#REF!,"AAAAAG48/6k=")</f>
        <v>#REF!</v>
      </c>
      <c r="FO82" t="e">
        <f>IF(#REF!,"AAAAAG48/6o=",0)</f>
        <v>#REF!</v>
      </c>
      <c r="FP82" t="e">
        <f>AND(#REF!,"AAAAAG48/6s=")</f>
        <v>#REF!</v>
      </c>
      <c r="FQ82" t="e">
        <f>AND(#REF!,"AAAAAG48/6w=")</f>
        <v>#REF!</v>
      </c>
      <c r="FR82" t="e">
        <f>AND(#REF!,"AAAAAG48/60=")</f>
        <v>#REF!</v>
      </c>
      <c r="FS82" t="e">
        <f>AND(#REF!,"AAAAAG48/64=")</f>
        <v>#REF!</v>
      </c>
      <c r="FT82" t="e">
        <f>AND(#REF!,"AAAAAG48/68=")</f>
        <v>#REF!</v>
      </c>
      <c r="FU82" t="e">
        <f>AND(#REF!,"AAAAAG48/7A=")</f>
        <v>#REF!</v>
      </c>
      <c r="FV82" t="e">
        <f>AND(#REF!,"AAAAAG48/7E=")</f>
        <v>#REF!</v>
      </c>
      <c r="FW82" t="e">
        <f>AND(#REF!,"AAAAAG48/7I=")</f>
        <v>#REF!</v>
      </c>
      <c r="FX82" t="e">
        <f>AND(#REF!,"AAAAAG48/7M=")</f>
        <v>#REF!</v>
      </c>
      <c r="FY82" t="e">
        <f>AND(#REF!,"AAAAAG48/7Q=")</f>
        <v>#REF!</v>
      </c>
      <c r="FZ82" t="e">
        <f>AND(#REF!,"AAAAAG48/7U=")</f>
        <v>#REF!</v>
      </c>
      <c r="GA82" t="e">
        <f>AND(#REF!,"AAAAAG48/7Y=")</f>
        <v>#REF!</v>
      </c>
      <c r="GB82" t="e">
        <f>AND(#REF!,"AAAAAG48/7c=")</f>
        <v>#REF!</v>
      </c>
      <c r="GC82" t="e">
        <f>AND(#REF!,"AAAAAG48/7g=")</f>
        <v>#REF!</v>
      </c>
      <c r="GD82" t="e">
        <f>AND(#REF!,"AAAAAG48/7k=")</f>
        <v>#REF!</v>
      </c>
      <c r="GE82" t="e">
        <f>IF(#REF!,"AAAAAG48/7o=",0)</f>
        <v>#REF!</v>
      </c>
      <c r="GF82" t="e">
        <f>AND(#REF!,"AAAAAG48/7s=")</f>
        <v>#REF!</v>
      </c>
      <c r="GG82" t="e">
        <f>AND(#REF!,"AAAAAG48/7w=")</f>
        <v>#REF!</v>
      </c>
      <c r="GH82" t="e">
        <f>AND(#REF!,"AAAAAG48/70=")</f>
        <v>#REF!</v>
      </c>
      <c r="GI82" t="e">
        <f>AND(#REF!,"AAAAAG48/74=")</f>
        <v>#REF!</v>
      </c>
      <c r="GJ82" t="e">
        <f>AND(#REF!,"AAAAAG48/78=")</f>
        <v>#REF!</v>
      </c>
      <c r="GK82" t="e">
        <f>AND(#REF!,"AAAAAG48/8A=")</f>
        <v>#REF!</v>
      </c>
      <c r="GL82" t="e">
        <f>AND(#REF!,"AAAAAG48/8E=")</f>
        <v>#REF!</v>
      </c>
      <c r="GM82" t="e">
        <f>AND(#REF!,"AAAAAG48/8I=")</f>
        <v>#REF!</v>
      </c>
      <c r="GN82" t="e">
        <f>AND(#REF!,"AAAAAG48/8M=")</f>
        <v>#REF!</v>
      </c>
      <c r="GO82" t="e">
        <f>AND(#REF!,"AAAAAG48/8Q=")</f>
        <v>#REF!</v>
      </c>
      <c r="GP82" t="e">
        <f>AND(#REF!,"AAAAAG48/8U=")</f>
        <v>#REF!</v>
      </c>
      <c r="GQ82" t="e">
        <f>AND(#REF!,"AAAAAG48/8Y=")</f>
        <v>#REF!</v>
      </c>
      <c r="GR82" t="e">
        <f>AND(#REF!,"AAAAAG48/8c=")</f>
        <v>#REF!</v>
      </c>
      <c r="GS82" t="e">
        <f>AND(#REF!,"AAAAAG48/8g=")</f>
        <v>#REF!</v>
      </c>
      <c r="GT82" t="e">
        <f>AND(#REF!,"AAAAAG48/8k=")</f>
        <v>#REF!</v>
      </c>
      <c r="GU82" t="e">
        <f>IF(#REF!,"AAAAAG48/8o=",0)</f>
        <v>#REF!</v>
      </c>
      <c r="GV82" t="e">
        <f>AND(#REF!,"AAAAAG48/8s=")</f>
        <v>#REF!</v>
      </c>
      <c r="GW82" t="e">
        <f>AND(#REF!,"AAAAAG48/8w=")</f>
        <v>#REF!</v>
      </c>
      <c r="GX82" t="e">
        <f>AND(#REF!,"AAAAAG48/80=")</f>
        <v>#REF!</v>
      </c>
      <c r="GY82" t="e">
        <f>AND(#REF!,"AAAAAG48/84=")</f>
        <v>#REF!</v>
      </c>
      <c r="GZ82" t="e">
        <f>AND(#REF!,"AAAAAG48/88=")</f>
        <v>#REF!</v>
      </c>
      <c r="HA82" t="e">
        <f>AND(#REF!,"AAAAAG48/9A=")</f>
        <v>#REF!</v>
      </c>
      <c r="HB82" t="e">
        <f>AND(#REF!,"AAAAAG48/9E=")</f>
        <v>#REF!</v>
      </c>
      <c r="HC82" t="e">
        <f>AND(#REF!,"AAAAAG48/9I=")</f>
        <v>#REF!</v>
      </c>
      <c r="HD82" t="e">
        <f>AND(#REF!,"AAAAAG48/9M=")</f>
        <v>#REF!</v>
      </c>
      <c r="HE82" t="e">
        <f>AND(#REF!,"AAAAAG48/9Q=")</f>
        <v>#REF!</v>
      </c>
      <c r="HF82" t="e">
        <f>AND(#REF!,"AAAAAG48/9U=")</f>
        <v>#REF!</v>
      </c>
      <c r="HG82" t="e">
        <f>AND(#REF!,"AAAAAG48/9Y=")</f>
        <v>#REF!</v>
      </c>
      <c r="HH82" t="e">
        <f>AND(#REF!,"AAAAAG48/9c=")</f>
        <v>#REF!</v>
      </c>
      <c r="HI82" t="e">
        <f>AND(#REF!,"AAAAAG48/9g=")</f>
        <v>#REF!</v>
      </c>
      <c r="HJ82" t="e">
        <f>AND(#REF!,"AAAAAG48/9k=")</f>
        <v>#REF!</v>
      </c>
      <c r="HK82" t="e">
        <f>IF(#REF!,"AAAAAG48/9o=",0)</f>
        <v>#REF!</v>
      </c>
      <c r="HL82" t="e">
        <f>AND(#REF!,"AAAAAG48/9s=")</f>
        <v>#REF!</v>
      </c>
      <c r="HM82" t="e">
        <f>AND(#REF!,"AAAAAG48/9w=")</f>
        <v>#REF!</v>
      </c>
      <c r="HN82" t="e">
        <f>AND(#REF!,"AAAAAG48/90=")</f>
        <v>#REF!</v>
      </c>
      <c r="HO82" t="e">
        <f>AND(#REF!,"AAAAAG48/94=")</f>
        <v>#REF!</v>
      </c>
      <c r="HP82" t="e">
        <f>AND(#REF!,"AAAAAG48/98=")</f>
        <v>#REF!</v>
      </c>
      <c r="HQ82" t="e">
        <f>AND(#REF!,"AAAAAG48/+A=")</f>
        <v>#REF!</v>
      </c>
      <c r="HR82" t="e">
        <f>AND(#REF!,"AAAAAG48/+E=")</f>
        <v>#REF!</v>
      </c>
      <c r="HS82" t="e">
        <f>AND(#REF!,"AAAAAG48/+I=")</f>
        <v>#REF!</v>
      </c>
      <c r="HT82" t="e">
        <f>AND(#REF!,"AAAAAG48/+M=")</f>
        <v>#REF!</v>
      </c>
      <c r="HU82" t="e">
        <f>AND(#REF!,"AAAAAG48/+Q=")</f>
        <v>#REF!</v>
      </c>
      <c r="HV82" t="e">
        <f>AND(#REF!,"AAAAAG48/+U=")</f>
        <v>#REF!</v>
      </c>
      <c r="HW82" t="e">
        <f>AND(#REF!,"AAAAAG48/+Y=")</f>
        <v>#REF!</v>
      </c>
      <c r="HX82" t="e">
        <f>AND(#REF!,"AAAAAG48/+c=")</f>
        <v>#REF!</v>
      </c>
      <c r="HY82" t="e">
        <f>AND(#REF!,"AAAAAG48/+g=")</f>
        <v>#REF!</v>
      </c>
      <c r="HZ82" t="e">
        <f>AND(#REF!,"AAAAAG48/+k=")</f>
        <v>#REF!</v>
      </c>
      <c r="IA82" t="e">
        <f>IF(#REF!,"AAAAAG48/+o=",0)</f>
        <v>#REF!</v>
      </c>
      <c r="IB82" t="e">
        <f>AND(#REF!,"AAAAAG48/+s=")</f>
        <v>#REF!</v>
      </c>
      <c r="IC82" t="e">
        <f>AND(#REF!,"AAAAAG48/+w=")</f>
        <v>#REF!</v>
      </c>
      <c r="ID82" t="e">
        <f>AND(#REF!,"AAAAAG48/+0=")</f>
        <v>#REF!</v>
      </c>
      <c r="IE82" t="e">
        <f>AND(#REF!,"AAAAAG48/+4=")</f>
        <v>#REF!</v>
      </c>
      <c r="IF82" t="e">
        <f>AND(#REF!,"AAAAAG48/+8=")</f>
        <v>#REF!</v>
      </c>
      <c r="IG82" t="e">
        <f>AND(#REF!,"AAAAAG48//A=")</f>
        <v>#REF!</v>
      </c>
      <c r="IH82" t="e">
        <f>AND(#REF!,"AAAAAG48//E=")</f>
        <v>#REF!</v>
      </c>
      <c r="II82" t="e">
        <f>AND(#REF!,"AAAAAG48//I=")</f>
        <v>#REF!</v>
      </c>
      <c r="IJ82" t="e">
        <f>AND(#REF!,"AAAAAG48//M=")</f>
        <v>#REF!</v>
      </c>
      <c r="IK82" t="e">
        <f>AND(#REF!,"AAAAAG48//Q=")</f>
        <v>#REF!</v>
      </c>
      <c r="IL82" t="e">
        <f>AND(#REF!,"AAAAAG48//U=")</f>
        <v>#REF!</v>
      </c>
      <c r="IM82" t="e">
        <f>AND(#REF!,"AAAAAG48//Y=")</f>
        <v>#REF!</v>
      </c>
      <c r="IN82" t="e">
        <f>AND(#REF!,"AAAAAG48//c=")</f>
        <v>#REF!</v>
      </c>
      <c r="IO82" t="e">
        <f>AND(#REF!,"AAAAAG48//g=")</f>
        <v>#REF!</v>
      </c>
      <c r="IP82" t="e">
        <f>AND(#REF!,"AAAAAG48//k=")</f>
        <v>#REF!</v>
      </c>
      <c r="IQ82" t="e">
        <f>IF(#REF!,"AAAAAG48//o=",0)</f>
        <v>#REF!</v>
      </c>
      <c r="IR82" t="e">
        <f>AND(#REF!,"AAAAAG48//s=")</f>
        <v>#REF!</v>
      </c>
      <c r="IS82" t="e">
        <f>AND(#REF!,"AAAAAG48//w=")</f>
        <v>#REF!</v>
      </c>
      <c r="IT82" t="e">
        <f>AND(#REF!,"AAAAAG48//0=")</f>
        <v>#REF!</v>
      </c>
      <c r="IU82" t="e">
        <f>AND(#REF!,"AAAAAG48//4=")</f>
        <v>#REF!</v>
      </c>
      <c r="IV82" t="e">
        <f>AND(#REF!,"AAAAAG48//8=")</f>
        <v>#REF!</v>
      </c>
    </row>
    <row r="83" spans="1:256" x14ac:dyDescent="0.15">
      <c r="A83" t="e">
        <f>AND(#REF!,"AAAAAFf/dQA=")</f>
        <v>#REF!</v>
      </c>
      <c r="B83" t="e">
        <f>AND(#REF!,"AAAAAFf/dQE=")</f>
        <v>#REF!</v>
      </c>
      <c r="C83" t="e">
        <f>AND(#REF!,"AAAAAFf/dQI=")</f>
        <v>#REF!</v>
      </c>
      <c r="D83" t="e">
        <f>AND(#REF!,"AAAAAFf/dQM=")</f>
        <v>#REF!</v>
      </c>
      <c r="E83" t="e">
        <f>AND(#REF!,"AAAAAFf/dQQ=")</f>
        <v>#REF!</v>
      </c>
      <c r="F83" t="e">
        <f>AND(#REF!,"AAAAAFf/dQU=")</f>
        <v>#REF!</v>
      </c>
      <c r="G83" t="e">
        <f>AND(#REF!,"AAAAAFf/dQY=")</f>
        <v>#REF!</v>
      </c>
      <c r="H83" t="e">
        <f>AND(#REF!,"AAAAAFf/dQc=")</f>
        <v>#REF!</v>
      </c>
      <c r="I83" t="e">
        <f>AND(#REF!,"AAAAAFf/dQg=")</f>
        <v>#REF!</v>
      </c>
      <c r="J83" t="e">
        <f>AND(#REF!,"AAAAAFf/dQk=")</f>
        <v>#REF!</v>
      </c>
      <c r="K83" t="e">
        <f>IF(#REF!,"AAAAAFf/dQo=",0)</f>
        <v>#REF!</v>
      </c>
      <c r="L83" t="e">
        <f>AND(#REF!,"AAAAAFf/dQs=")</f>
        <v>#REF!</v>
      </c>
      <c r="M83" t="e">
        <f>AND(#REF!,"AAAAAFf/dQw=")</f>
        <v>#REF!</v>
      </c>
      <c r="N83" t="e">
        <f>AND(#REF!,"AAAAAFf/dQ0=")</f>
        <v>#REF!</v>
      </c>
      <c r="O83" t="e">
        <f>AND(#REF!,"AAAAAFf/dQ4=")</f>
        <v>#REF!</v>
      </c>
      <c r="P83" t="e">
        <f>AND(#REF!,"AAAAAFf/dQ8=")</f>
        <v>#REF!</v>
      </c>
      <c r="Q83" t="e">
        <f>AND(#REF!,"AAAAAFf/dRA=")</f>
        <v>#REF!</v>
      </c>
      <c r="R83" t="e">
        <f>AND(#REF!,"AAAAAFf/dRE=")</f>
        <v>#REF!</v>
      </c>
      <c r="S83" t="e">
        <f>AND(#REF!,"AAAAAFf/dRI=")</f>
        <v>#REF!</v>
      </c>
      <c r="T83" t="e">
        <f>AND(#REF!,"AAAAAFf/dRM=")</f>
        <v>#REF!</v>
      </c>
      <c r="U83" t="e">
        <f>AND(#REF!,"AAAAAFf/dRQ=")</f>
        <v>#REF!</v>
      </c>
      <c r="V83" t="e">
        <f>AND(#REF!,"AAAAAFf/dRU=")</f>
        <v>#REF!</v>
      </c>
      <c r="W83" t="e">
        <f>AND(#REF!,"AAAAAFf/dRY=")</f>
        <v>#REF!</v>
      </c>
      <c r="X83" t="e">
        <f>AND(#REF!,"AAAAAFf/dRc=")</f>
        <v>#REF!</v>
      </c>
      <c r="Y83" t="e">
        <f>AND(#REF!,"AAAAAFf/dRg=")</f>
        <v>#REF!</v>
      </c>
      <c r="Z83" t="e">
        <f>AND(#REF!,"AAAAAFf/dRk=")</f>
        <v>#REF!</v>
      </c>
      <c r="AA83" t="e">
        <f>IF(#REF!,"AAAAAFf/dRo=",0)</f>
        <v>#REF!</v>
      </c>
      <c r="AB83" t="e">
        <f>AND(#REF!,"AAAAAFf/dRs=")</f>
        <v>#REF!</v>
      </c>
      <c r="AC83" t="e">
        <f>AND(#REF!,"AAAAAFf/dRw=")</f>
        <v>#REF!</v>
      </c>
      <c r="AD83" t="e">
        <f>AND(#REF!,"AAAAAFf/dR0=")</f>
        <v>#REF!</v>
      </c>
      <c r="AE83" t="e">
        <f>AND(#REF!,"AAAAAFf/dR4=")</f>
        <v>#REF!</v>
      </c>
      <c r="AF83" t="e">
        <f>AND(#REF!,"AAAAAFf/dR8=")</f>
        <v>#REF!</v>
      </c>
      <c r="AG83" t="e">
        <f>AND(#REF!,"AAAAAFf/dSA=")</f>
        <v>#REF!</v>
      </c>
      <c r="AH83" t="e">
        <f>AND(#REF!,"AAAAAFf/dSE=")</f>
        <v>#REF!</v>
      </c>
      <c r="AI83" t="e">
        <f>AND(#REF!,"AAAAAFf/dSI=")</f>
        <v>#REF!</v>
      </c>
      <c r="AJ83" t="e">
        <f>AND(#REF!,"AAAAAFf/dSM=")</f>
        <v>#REF!</v>
      </c>
      <c r="AK83" t="e">
        <f>AND(#REF!,"AAAAAFf/dSQ=")</f>
        <v>#REF!</v>
      </c>
      <c r="AL83" t="e">
        <f>AND(#REF!,"AAAAAFf/dSU=")</f>
        <v>#REF!</v>
      </c>
      <c r="AM83" t="e">
        <f>AND(#REF!,"AAAAAFf/dSY=")</f>
        <v>#REF!</v>
      </c>
      <c r="AN83" t="e">
        <f>AND(#REF!,"AAAAAFf/dSc=")</f>
        <v>#REF!</v>
      </c>
      <c r="AO83" t="e">
        <f>AND(#REF!,"AAAAAFf/dSg=")</f>
        <v>#REF!</v>
      </c>
      <c r="AP83" t="e">
        <f>AND(#REF!,"AAAAAFf/dSk=")</f>
        <v>#REF!</v>
      </c>
      <c r="AQ83" t="e">
        <f>IF(#REF!,"AAAAAFf/dSo=",0)</f>
        <v>#REF!</v>
      </c>
      <c r="AR83" t="e">
        <f>AND(#REF!,"AAAAAFf/dSs=")</f>
        <v>#REF!</v>
      </c>
      <c r="AS83" t="e">
        <f>AND(#REF!,"AAAAAFf/dSw=")</f>
        <v>#REF!</v>
      </c>
      <c r="AT83" t="e">
        <f>AND(#REF!,"AAAAAFf/dS0=")</f>
        <v>#REF!</v>
      </c>
      <c r="AU83" t="e">
        <f>AND(#REF!,"AAAAAFf/dS4=")</f>
        <v>#REF!</v>
      </c>
      <c r="AV83" t="e">
        <f>AND(#REF!,"AAAAAFf/dS8=")</f>
        <v>#REF!</v>
      </c>
      <c r="AW83" t="e">
        <f>AND(#REF!,"AAAAAFf/dTA=")</f>
        <v>#REF!</v>
      </c>
      <c r="AX83" t="e">
        <f>AND(#REF!,"AAAAAFf/dTE=")</f>
        <v>#REF!</v>
      </c>
      <c r="AY83" t="e">
        <f>AND(#REF!,"AAAAAFf/dTI=")</f>
        <v>#REF!</v>
      </c>
      <c r="AZ83" t="e">
        <f>AND(#REF!,"AAAAAFf/dTM=")</f>
        <v>#REF!</v>
      </c>
      <c r="BA83" t="e">
        <f>AND(#REF!,"AAAAAFf/dTQ=")</f>
        <v>#REF!</v>
      </c>
      <c r="BB83" t="e">
        <f>AND(#REF!,"AAAAAFf/dTU=")</f>
        <v>#REF!</v>
      </c>
      <c r="BC83" t="e">
        <f>AND(#REF!,"AAAAAFf/dTY=")</f>
        <v>#REF!</v>
      </c>
      <c r="BD83" t="e">
        <f>AND(#REF!,"AAAAAFf/dTc=")</f>
        <v>#REF!</v>
      </c>
      <c r="BE83" t="e">
        <f>AND(#REF!,"AAAAAFf/dTg=")</f>
        <v>#REF!</v>
      </c>
      <c r="BF83" t="e">
        <f>AND(#REF!,"AAAAAFf/dTk=")</f>
        <v>#REF!</v>
      </c>
      <c r="BG83" t="e">
        <f>IF(#REF!,"AAAAAFf/dTo=",0)</f>
        <v>#REF!</v>
      </c>
      <c r="BH83" t="e">
        <f>AND(#REF!,"AAAAAFf/dTs=")</f>
        <v>#REF!</v>
      </c>
      <c r="BI83" t="e">
        <f>AND(#REF!,"AAAAAFf/dTw=")</f>
        <v>#REF!</v>
      </c>
      <c r="BJ83" t="e">
        <f>AND(#REF!,"AAAAAFf/dT0=")</f>
        <v>#REF!</v>
      </c>
      <c r="BK83" t="e">
        <f>AND(#REF!,"AAAAAFf/dT4=")</f>
        <v>#REF!</v>
      </c>
      <c r="BL83" t="e">
        <f>AND(#REF!,"AAAAAFf/dT8=")</f>
        <v>#REF!</v>
      </c>
      <c r="BM83" t="e">
        <f>AND(#REF!,"AAAAAFf/dUA=")</f>
        <v>#REF!</v>
      </c>
      <c r="BN83" t="e">
        <f>AND(#REF!,"AAAAAFf/dUE=")</f>
        <v>#REF!</v>
      </c>
      <c r="BO83" t="e">
        <f>AND(#REF!,"AAAAAFf/dUI=")</f>
        <v>#REF!</v>
      </c>
      <c r="BP83" t="e">
        <f>AND(#REF!,"AAAAAFf/dUM=")</f>
        <v>#REF!</v>
      </c>
      <c r="BQ83" t="e">
        <f>AND(#REF!,"AAAAAFf/dUQ=")</f>
        <v>#REF!</v>
      </c>
      <c r="BR83" t="e">
        <f>AND(#REF!,"AAAAAFf/dUU=")</f>
        <v>#REF!</v>
      </c>
      <c r="BS83" t="e">
        <f>AND(#REF!,"AAAAAFf/dUY=")</f>
        <v>#REF!</v>
      </c>
      <c r="BT83" t="e">
        <f>AND(#REF!,"AAAAAFf/dUc=")</f>
        <v>#REF!</v>
      </c>
      <c r="BU83" t="e">
        <f>AND(#REF!,"AAAAAFf/dUg=")</f>
        <v>#REF!</v>
      </c>
      <c r="BV83" t="e">
        <f>AND(#REF!,"AAAAAFf/dUk=")</f>
        <v>#REF!</v>
      </c>
      <c r="BW83" t="e">
        <f>IF(#REF!,"AAAAAFf/dUo=",0)</f>
        <v>#REF!</v>
      </c>
      <c r="BX83" t="e">
        <f>IF(#REF!,"AAAAAFf/dUs=",0)</f>
        <v>#REF!</v>
      </c>
      <c r="BY83" t="e">
        <f>IF(#REF!,"AAAAAFf/dUw=",0)</f>
        <v>#REF!</v>
      </c>
      <c r="BZ83" t="e">
        <f>IF(#REF!,"AAAAAFf/dU0=",0)</f>
        <v>#REF!</v>
      </c>
      <c r="CA83" t="e">
        <f>IF(#REF!,"AAAAAFf/dU4=",0)</f>
        <v>#REF!</v>
      </c>
      <c r="CB83" t="e">
        <f>IF(#REF!,"AAAAAFf/dU8=",0)</f>
        <v>#REF!</v>
      </c>
      <c r="CC83" t="e">
        <f>IF(#REF!,"AAAAAFf/dVA=",0)</f>
        <v>#REF!</v>
      </c>
      <c r="CD83" t="e">
        <f>IF(#REF!,"AAAAAFf/dVE=",0)</f>
        <v>#REF!</v>
      </c>
      <c r="CE83" t="e">
        <f>IF(#REF!,"AAAAAFf/dVI=",0)</f>
        <v>#REF!</v>
      </c>
      <c r="CF83" t="e">
        <f>IF(#REF!,"AAAAAFf/dVM=",0)</f>
        <v>#REF!</v>
      </c>
      <c r="CG83" t="e">
        <f>IF(#REF!,"AAAAAFf/dVQ=",0)</f>
        <v>#REF!</v>
      </c>
      <c r="CH83" t="e">
        <f>IF(#REF!,"AAAAAFf/dVU=",0)</f>
        <v>#REF!</v>
      </c>
      <c r="CI83" t="e">
        <f>IF(#REF!,"AAAAAFf/dVY=",0)</f>
        <v>#REF!</v>
      </c>
      <c r="CJ83" t="e">
        <f>IF(#REF!,"AAAAAFf/dVc=",0)</f>
        <v>#REF!</v>
      </c>
      <c r="CK83" t="e">
        <f>IF(#REF!,"AAAAAFf/dVg=",0)</f>
        <v>#REF!</v>
      </c>
      <c r="CL83" t="e">
        <f>IF(#REF!,"AAAAAFf/dVk=",0)</f>
        <v>#REF!</v>
      </c>
      <c r="CM83" t="e">
        <f>AND(#REF!,"AAAAAFf/dVo=")</f>
        <v>#REF!</v>
      </c>
      <c r="CN83" t="e">
        <f>AND(#REF!,"AAAAAFf/dVs=")</f>
        <v>#REF!</v>
      </c>
      <c r="CO83" t="e">
        <f>AND(#REF!,"AAAAAFf/dVw=")</f>
        <v>#REF!</v>
      </c>
      <c r="CP83" t="e">
        <f>AND(#REF!,"AAAAAFf/dV0=")</f>
        <v>#REF!</v>
      </c>
      <c r="CQ83" t="e">
        <f>AND(#REF!,"AAAAAFf/dV4=")</f>
        <v>#REF!</v>
      </c>
      <c r="CR83" t="e">
        <f>AND(#REF!,"AAAAAFf/dV8=")</f>
        <v>#REF!</v>
      </c>
      <c r="CS83" t="e">
        <f>AND(#REF!,"AAAAAFf/dWA=")</f>
        <v>#REF!</v>
      </c>
      <c r="CT83" t="e">
        <f>AND(#REF!,"AAAAAFf/dWE=")</f>
        <v>#REF!</v>
      </c>
      <c r="CU83" t="e">
        <f>AND(#REF!,"AAAAAFf/dWI=")</f>
        <v>#REF!</v>
      </c>
      <c r="CV83" t="e">
        <f>AND(#REF!,"AAAAAFf/dWM=")</f>
        <v>#REF!</v>
      </c>
      <c r="CW83" t="e">
        <f>AND(#REF!,"AAAAAFf/dWQ=")</f>
        <v>#REF!</v>
      </c>
      <c r="CX83" t="e">
        <f>AND(#REF!,"AAAAAFf/dWU=")</f>
        <v>#REF!</v>
      </c>
      <c r="CY83" t="e">
        <f>AND(#REF!,"AAAAAFf/dWY=")</f>
        <v>#REF!</v>
      </c>
      <c r="CZ83" t="e">
        <f>AND(#REF!,"AAAAAFf/dWc=")</f>
        <v>#REF!</v>
      </c>
      <c r="DA83" t="e">
        <f>IF(#REF!,"AAAAAFf/dWg=",0)</f>
        <v>#REF!</v>
      </c>
      <c r="DB83" t="e">
        <f>AND(#REF!,"AAAAAFf/dWk=")</f>
        <v>#REF!</v>
      </c>
      <c r="DC83" t="e">
        <f>AND(#REF!,"AAAAAFf/dWo=")</f>
        <v>#REF!</v>
      </c>
      <c r="DD83" t="e">
        <f>AND(#REF!,"AAAAAFf/dWs=")</f>
        <v>#REF!</v>
      </c>
      <c r="DE83" t="e">
        <f>AND(#REF!,"AAAAAFf/dWw=")</f>
        <v>#REF!</v>
      </c>
      <c r="DF83" t="e">
        <f>AND(#REF!,"AAAAAFf/dW0=")</f>
        <v>#REF!</v>
      </c>
      <c r="DG83" t="e">
        <f>AND(#REF!,"AAAAAFf/dW4=")</f>
        <v>#REF!</v>
      </c>
      <c r="DH83" t="e">
        <f>AND(#REF!,"AAAAAFf/dW8=")</f>
        <v>#REF!</v>
      </c>
      <c r="DI83" t="e">
        <f>AND(#REF!,"AAAAAFf/dXA=")</f>
        <v>#REF!</v>
      </c>
      <c r="DJ83" t="e">
        <f>AND(#REF!,"AAAAAFf/dXE=")</f>
        <v>#REF!</v>
      </c>
      <c r="DK83" t="e">
        <f>AND(#REF!,"AAAAAFf/dXI=")</f>
        <v>#REF!</v>
      </c>
      <c r="DL83" t="e">
        <f>AND(#REF!,"AAAAAFf/dXM=")</f>
        <v>#REF!</v>
      </c>
      <c r="DM83" t="e">
        <f>AND(#REF!,"AAAAAFf/dXQ=")</f>
        <v>#REF!</v>
      </c>
      <c r="DN83" t="e">
        <f>AND(#REF!,"AAAAAFf/dXU=")</f>
        <v>#REF!</v>
      </c>
      <c r="DO83" t="e">
        <f>AND(#REF!,"AAAAAFf/dXY=")</f>
        <v>#REF!</v>
      </c>
      <c r="DP83" t="e">
        <f>IF(#REF!,"AAAAAFf/dXc=",0)</f>
        <v>#REF!</v>
      </c>
      <c r="DQ83" t="e">
        <f>AND(#REF!,"AAAAAFf/dXg=")</f>
        <v>#REF!</v>
      </c>
      <c r="DR83" t="e">
        <f>AND(#REF!,"AAAAAFf/dXk=")</f>
        <v>#REF!</v>
      </c>
      <c r="DS83" t="e">
        <f>AND(#REF!,"AAAAAFf/dXo=")</f>
        <v>#REF!</v>
      </c>
      <c r="DT83" t="e">
        <f>AND(#REF!,"AAAAAFf/dXs=")</f>
        <v>#REF!</v>
      </c>
      <c r="DU83" t="e">
        <f>AND(#REF!,"AAAAAFf/dXw=")</f>
        <v>#REF!</v>
      </c>
      <c r="DV83" t="e">
        <f>AND(#REF!,"AAAAAFf/dX0=")</f>
        <v>#REF!</v>
      </c>
      <c r="DW83" t="e">
        <f>AND(#REF!,"AAAAAFf/dX4=")</f>
        <v>#REF!</v>
      </c>
      <c r="DX83" t="e">
        <f>AND(#REF!,"AAAAAFf/dX8=")</f>
        <v>#REF!</v>
      </c>
      <c r="DY83" t="e">
        <f>AND(#REF!,"AAAAAFf/dYA=")</f>
        <v>#REF!</v>
      </c>
      <c r="DZ83" t="e">
        <f>AND(#REF!,"AAAAAFf/dYE=")</f>
        <v>#REF!</v>
      </c>
      <c r="EA83" t="e">
        <f>AND(#REF!,"AAAAAFf/dYI=")</f>
        <v>#REF!</v>
      </c>
      <c r="EB83" t="e">
        <f>AND(#REF!,"AAAAAFf/dYM=")</f>
        <v>#REF!</v>
      </c>
      <c r="EC83" t="e">
        <f>AND(#REF!,"AAAAAFf/dYQ=")</f>
        <v>#REF!</v>
      </c>
      <c r="ED83" t="e">
        <f>AND(#REF!,"AAAAAFf/dYU=")</f>
        <v>#REF!</v>
      </c>
      <c r="EE83" t="e">
        <f>IF(#REF!,"AAAAAFf/dYY=",0)</f>
        <v>#REF!</v>
      </c>
      <c r="EF83" t="e">
        <f>AND(#REF!,"AAAAAFf/dYc=")</f>
        <v>#REF!</v>
      </c>
      <c r="EG83" t="e">
        <f>AND(#REF!,"AAAAAFf/dYg=")</f>
        <v>#REF!</v>
      </c>
      <c r="EH83" t="e">
        <f>AND(#REF!,"AAAAAFf/dYk=")</f>
        <v>#REF!</v>
      </c>
      <c r="EI83" t="e">
        <f>AND(#REF!,"AAAAAFf/dYo=")</f>
        <v>#REF!</v>
      </c>
      <c r="EJ83" t="e">
        <f>AND(#REF!,"AAAAAFf/dYs=")</f>
        <v>#REF!</v>
      </c>
      <c r="EK83" t="e">
        <f>AND(#REF!,"AAAAAFf/dYw=")</f>
        <v>#REF!</v>
      </c>
      <c r="EL83" t="e">
        <f>AND(#REF!,"AAAAAFf/dY0=")</f>
        <v>#REF!</v>
      </c>
      <c r="EM83" t="e">
        <f>AND(#REF!,"AAAAAFf/dY4=")</f>
        <v>#REF!</v>
      </c>
      <c r="EN83" t="e">
        <f>AND(#REF!,"AAAAAFf/dY8=")</f>
        <v>#REF!</v>
      </c>
      <c r="EO83" t="e">
        <f>AND(#REF!,"AAAAAFf/dZA=")</f>
        <v>#REF!</v>
      </c>
      <c r="EP83" t="e">
        <f>AND(#REF!,"AAAAAFf/dZE=")</f>
        <v>#REF!</v>
      </c>
      <c r="EQ83" t="e">
        <f>AND(#REF!,"AAAAAFf/dZI=")</f>
        <v>#REF!</v>
      </c>
      <c r="ER83" t="e">
        <f>AND(#REF!,"AAAAAFf/dZM=")</f>
        <v>#REF!</v>
      </c>
      <c r="ES83" t="e">
        <f>AND(#REF!,"AAAAAFf/dZQ=")</f>
        <v>#REF!</v>
      </c>
      <c r="ET83" t="e">
        <f>IF(#REF!,"AAAAAFf/dZU=",0)</f>
        <v>#REF!</v>
      </c>
      <c r="EU83" t="e">
        <f>AND(#REF!,"AAAAAFf/dZY=")</f>
        <v>#REF!</v>
      </c>
      <c r="EV83" t="e">
        <f>AND(#REF!,"AAAAAFf/dZc=")</f>
        <v>#REF!</v>
      </c>
      <c r="EW83" t="e">
        <f>AND(#REF!,"AAAAAFf/dZg=")</f>
        <v>#REF!</v>
      </c>
      <c r="EX83" t="e">
        <f>AND(#REF!,"AAAAAFf/dZk=")</f>
        <v>#REF!</v>
      </c>
      <c r="EY83" t="e">
        <f>AND(#REF!,"AAAAAFf/dZo=")</f>
        <v>#REF!</v>
      </c>
      <c r="EZ83" t="e">
        <f>AND(#REF!,"AAAAAFf/dZs=")</f>
        <v>#REF!</v>
      </c>
      <c r="FA83" t="e">
        <f>AND(#REF!,"AAAAAFf/dZw=")</f>
        <v>#REF!</v>
      </c>
      <c r="FB83" t="e">
        <f>AND(#REF!,"AAAAAFf/dZ0=")</f>
        <v>#REF!</v>
      </c>
      <c r="FC83" t="e">
        <f>AND(#REF!,"AAAAAFf/dZ4=")</f>
        <v>#REF!</v>
      </c>
      <c r="FD83" t="e">
        <f>AND(#REF!,"AAAAAFf/dZ8=")</f>
        <v>#REF!</v>
      </c>
      <c r="FE83" t="e">
        <f>AND(#REF!,"AAAAAFf/daA=")</f>
        <v>#REF!</v>
      </c>
      <c r="FF83" t="e">
        <f>AND(#REF!,"AAAAAFf/daE=")</f>
        <v>#REF!</v>
      </c>
      <c r="FG83" t="e">
        <f>AND(#REF!,"AAAAAFf/daI=")</f>
        <v>#REF!</v>
      </c>
      <c r="FH83" t="e">
        <f>AND(#REF!,"AAAAAFf/daM=")</f>
        <v>#REF!</v>
      </c>
      <c r="FI83" t="e">
        <f>IF(#REF!,"AAAAAFf/daQ=",0)</f>
        <v>#REF!</v>
      </c>
      <c r="FJ83" t="e">
        <f>AND(#REF!,"AAAAAFf/daU=")</f>
        <v>#REF!</v>
      </c>
      <c r="FK83" t="e">
        <f>AND(#REF!,"AAAAAFf/daY=")</f>
        <v>#REF!</v>
      </c>
      <c r="FL83" t="e">
        <f>AND(#REF!,"AAAAAFf/dac=")</f>
        <v>#REF!</v>
      </c>
      <c r="FM83" t="e">
        <f>AND(#REF!,"AAAAAFf/dag=")</f>
        <v>#REF!</v>
      </c>
      <c r="FN83" t="e">
        <f>AND(#REF!,"AAAAAFf/dak=")</f>
        <v>#REF!</v>
      </c>
      <c r="FO83" t="e">
        <f>AND(#REF!,"AAAAAFf/dao=")</f>
        <v>#REF!</v>
      </c>
      <c r="FP83" t="e">
        <f>AND(#REF!,"AAAAAFf/das=")</f>
        <v>#REF!</v>
      </c>
      <c r="FQ83" t="e">
        <f>AND(#REF!,"AAAAAFf/daw=")</f>
        <v>#REF!</v>
      </c>
      <c r="FR83" t="e">
        <f>AND(#REF!,"AAAAAFf/da0=")</f>
        <v>#REF!</v>
      </c>
      <c r="FS83" t="e">
        <f>AND(#REF!,"AAAAAFf/da4=")</f>
        <v>#REF!</v>
      </c>
      <c r="FT83" t="e">
        <f>AND(#REF!,"AAAAAFf/da8=")</f>
        <v>#REF!</v>
      </c>
      <c r="FU83" t="e">
        <f>AND(#REF!,"AAAAAFf/dbA=")</f>
        <v>#REF!</v>
      </c>
      <c r="FV83" t="e">
        <f>AND(#REF!,"AAAAAFf/dbE=")</f>
        <v>#REF!</v>
      </c>
      <c r="FW83" t="e">
        <f>AND(#REF!,"AAAAAFf/dbI=")</f>
        <v>#REF!</v>
      </c>
      <c r="FX83" t="e">
        <f>IF(#REF!,"AAAAAFf/dbM=",0)</f>
        <v>#REF!</v>
      </c>
      <c r="FY83" t="e">
        <f>AND(#REF!,"AAAAAFf/dbQ=")</f>
        <v>#REF!</v>
      </c>
      <c r="FZ83" t="e">
        <f>AND(#REF!,"AAAAAFf/dbU=")</f>
        <v>#REF!</v>
      </c>
      <c r="GA83" t="e">
        <f>AND(#REF!,"AAAAAFf/dbY=")</f>
        <v>#REF!</v>
      </c>
      <c r="GB83" t="e">
        <f>AND(#REF!,"AAAAAFf/dbc=")</f>
        <v>#REF!</v>
      </c>
      <c r="GC83" t="e">
        <f>AND(#REF!,"AAAAAFf/dbg=")</f>
        <v>#REF!</v>
      </c>
      <c r="GD83" t="e">
        <f>AND(#REF!,"AAAAAFf/dbk=")</f>
        <v>#REF!</v>
      </c>
      <c r="GE83" t="e">
        <f>AND(#REF!,"AAAAAFf/dbo=")</f>
        <v>#REF!</v>
      </c>
      <c r="GF83" t="e">
        <f>AND(#REF!,"AAAAAFf/dbs=")</f>
        <v>#REF!</v>
      </c>
      <c r="GG83" t="e">
        <f>AND(#REF!,"AAAAAFf/dbw=")</f>
        <v>#REF!</v>
      </c>
      <c r="GH83" t="e">
        <f>AND(#REF!,"AAAAAFf/db0=")</f>
        <v>#REF!</v>
      </c>
      <c r="GI83" t="e">
        <f>AND(#REF!,"AAAAAFf/db4=")</f>
        <v>#REF!</v>
      </c>
      <c r="GJ83" t="e">
        <f>AND(#REF!,"AAAAAFf/db8=")</f>
        <v>#REF!</v>
      </c>
      <c r="GK83" t="e">
        <f>AND(#REF!,"AAAAAFf/dcA=")</f>
        <v>#REF!</v>
      </c>
      <c r="GL83" t="e">
        <f>AND(#REF!,"AAAAAFf/dcE=")</f>
        <v>#REF!</v>
      </c>
      <c r="GM83" t="e">
        <f>IF(#REF!,"AAAAAFf/dcI=",0)</f>
        <v>#REF!</v>
      </c>
      <c r="GN83" t="e">
        <f>AND(#REF!,"AAAAAFf/dcM=")</f>
        <v>#REF!</v>
      </c>
      <c r="GO83" t="e">
        <f>AND(#REF!,"AAAAAFf/dcQ=")</f>
        <v>#REF!</v>
      </c>
      <c r="GP83" t="e">
        <f>AND(#REF!,"AAAAAFf/dcU=")</f>
        <v>#REF!</v>
      </c>
      <c r="GQ83" t="e">
        <f>AND(#REF!,"AAAAAFf/dcY=")</f>
        <v>#REF!</v>
      </c>
      <c r="GR83" t="e">
        <f>AND(#REF!,"AAAAAFf/dcc=")</f>
        <v>#REF!</v>
      </c>
      <c r="GS83" t="e">
        <f>AND(#REF!,"AAAAAFf/dcg=")</f>
        <v>#REF!</v>
      </c>
      <c r="GT83" t="e">
        <f>AND(#REF!,"AAAAAFf/dck=")</f>
        <v>#REF!</v>
      </c>
      <c r="GU83" t="e">
        <f>AND(#REF!,"AAAAAFf/dco=")</f>
        <v>#REF!</v>
      </c>
      <c r="GV83" t="e">
        <f>AND(#REF!,"AAAAAFf/dcs=")</f>
        <v>#REF!</v>
      </c>
      <c r="GW83" t="e">
        <f>AND(#REF!,"AAAAAFf/dcw=")</f>
        <v>#REF!</v>
      </c>
      <c r="GX83" t="e">
        <f>AND(#REF!,"AAAAAFf/dc0=")</f>
        <v>#REF!</v>
      </c>
      <c r="GY83" t="e">
        <f>AND(#REF!,"AAAAAFf/dc4=")</f>
        <v>#REF!</v>
      </c>
      <c r="GZ83" t="e">
        <f>AND(#REF!,"AAAAAFf/dc8=")</f>
        <v>#REF!</v>
      </c>
      <c r="HA83" t="e">
        <f>AND(#REF!,"AAAAAFf/ddA=")</f>
        <v>#REF!</v>
      </c>
      <c r="HB83" t="e">
        <f>IF(#REF!,"AAAAAFf/ddE=",0)</f>
        <v>#REF!</v>
      </c>
      <c r="HC83" t="e">
        <f>AND(#REF!,"AAAAAFf/ddI=")</f>
        <v>#REF!</v>
      </c>
      <c r="HD83" t="e">
        <f>AND(#REF!,"AAAAAFf/ddM=")</f>
        <v>#REF!</v>
      </c>
      <c r="HE83" t="e">
        <f>AND(#REF!,"AAAAAFf/ddQ=")</f>
        <v>#REF!</v>
      </c>
      <c r="HF83" t="e">
        <f>AND(#REF!,"AAAAAFf/ddU=")</f>
        <v>#REF!</v>
      </c>
      <c r="HG83" t="e">
        <f>AND(#REF!,"AAAAAFf/ddY=")</f>
        <v>#REF!</v>
      </c>
      <c r="HH83" t="e">
        <f>AND(#REF!,"AAAAAFf/ddc=")</f>
        <v>#REF!</v>
      </c>
      <c r="HI83" t="e">
        <f>AND(#REF!,"AAAAAFf/ddg=")</f>
        <v>#REF!</v>
      </c>
      <c r="HJ83" t="e">
        <f>AND(#REF!,"AAAAAFf/ddk=")</f>
        <v>#REF!</v>
      </c>
      <c r="HK83" t="e">
        <f>AND(#REF!,"AAAAAFf/ddo=")</f>
        <v>#REF!</v>
      </c>
      <c r="HL83" t="e">
        <f>AND(#REF!,"AAAAAFf/dds=")</f>
        <v>#REF!</v>
      </c>
      <c r="HM83" t="e">
        <f>AND(#REF!,"AAAAAFf/ddw=")</f>
        <v>#REF!</v>
      </c>
      <c r="HN83" t="e">
        <f>AND(#REF!,"AAAAAFf/dd0=")</f>
        <v>#REF!</v>
      </c>
      <c r="HO83" t="e">
        <f>AND(#REF!,"AAAAAFf/dd4=")</f>
        <v>#REF!</v>
      </c>
      <c r="HP83" t="e">
        <f>AND(#REF!,"AAAAAFf/dd8=")</f>
        <v>#REF!</v>
      </c>
      <c r="HQ83" t="e">
        <f>IF(#REF!,"AAAAAFf/deA=",0)</f>
        <v>#REF!</v>
      </c>
      <c r="HR83" t="e">
        <f>AND(#REF!,"AAAAAFf/deE=")</f>
        <v>#REF!</v>
      </c>
      <c r="HS83" t="e">
        <f>AND(#REF!,"AAAAAFf/deI=")</f>
        <v>#REF!</v>
      </c>
      <c r="HT83" t="e">
        <f>AND(#REF!,"AAAAAFf/deM=")</f>
        <v>#REF!</v>
      </c>
      <c r="HU83" t="e">
        <f>AND(#REF!,"AAAAAFf/deQ=")</f>
        <v>#REF!</v>
      </c>
      <c r="HV83" t="e">
        <f>AND(#REF!,"AAAAAFf/deU=")</f>
        <v>#REF!</v>
      </c>
      <c r="HW83" t="e">
        <f>AND(#REF!,"AAAAAFf/deY=")</f>
        <v>#REF!</v>
      </c>
      <c r="HX83" t="e">
        <f>AND(#REF!,"AAAAAFf/dec=")</f>
        <v>#REF!</v>
      </c>
      <c r="HY83" t="e">
        <f>AND(#REF!,"AAAAAFf/deg=")</f>
        <v>#REF!</v>
      </c>
      <c r="HZ83" t="e">
        <f>AND(#REF!,"AAAAAFf/dek=")</f>
        <v>#REF!</v>
      </c>
      <c r="IA83" t="e">
        <f>AND(#REF!,"AAAAAFf/deo=")</f>
        <v>#REF!</v>
      </c>
      <c r="IB83" t="e">
        <f>AND(#REF!,"AAAAAFf/des=")</f>
        <v>#REF!</v>
      </c>
      <c r="IC83" t="e">
        <f>AND(#REF!,"AAAAAFf/dew=")</f>
        <v>#REF!</v>
      </c>
      <c r="ID83" t="e">
        <f>AND(#REF!,"AAAAAFf/de0=")</f>
        <v>#REF!</v>
      </c>
      <c r="IE83" t="e">
        <f>AND(#REF!,"AAAAAFf/de4=")</f>
        <v>#REF!</v>
      </c>
      <c r="IF83" t="e">
        <f>IF(#REF!,"AAAAAFf/de8=",0)</f>
        <v>#REF!</v>
      </c>
      <c r="IG83" t="e">
        <f>AND(#REF!,"AAAAAFf/dfA=")</f>
        <v>#REF!</v>
      </c>
      <c r="IH83" t="e">
        <f>AND(#REF!,"AAAAAFf/dfE=")</f>
        <v>#REF!</v>
      </c>
      <c r="II83" t="e">
        <f>AND(#REF!,"AAAAAFf/dfI=")</f>
        <v>#REF!</v>
      </c>
      <c r="IJ83" t="e">
        <f>AND(#REF!,"AAAAAFf/dfM=")</f>
        <v>#REF!</v>
      </c>
      <c r="IK83" t="e">
        <f>AND(#REF!,"AAAAAFf/dfQ=")</f>
        <v>#REF!</v>
      </c>
      <c r="IL83" t="e">
        <f>AND(#REF!,"AAAAAFf/dfU=")</f>
        <v>#REF!</v>
      </c>
      <c r="IM83" t="e">
        <f>AND(#REF!,"AAAAAFf/dfY=")</f>
        <v>#REF!</v>
      </c>
      <c r="IN83" t="e">
        <f>AND(#REF!,"AAAAAFf/dfc=")</f>
        <v>#REF!</v>
      </c>
      <c r="IO83" t="e">
        <f>AND(#REF!,"AAAAAFf/dfg=")</f>
        <v>#REF!</v>
      </c>
      <c r="IP83" t="e">
        <f>AND(#REF!,"AAAAAFf/dfk=")</f>
        <v>#REF!</v>
      </c>
      <c r="IQ83" t="e">
        <f>AND(#REF!,"AAAAAFf/dfo=")</f>
        <v>#REF!</v>
      </c>
      <c r="IR83" t="e">
        <f>AND(#REF!,"AAAAAFf/dfs=")</f>
        <v>#REF!</v>
      </c>
      <c r="IS83" t="e">
        <f>AND(#REF!,"AAAAAFf/dfw=")</f>
        <v>#REF!</v>
      </c>
      <c r="IT83" t="e">
        <f>AND(#REF!,"AAAAAFf/df0=")</f>
        <v>#REF!</v>
      </c>
      <c r="IU83" t="e">
        <f>IF(#REF!,"AAAAAFf/df4=",0)</f>
        <v>#REF!</v>
      </c>
      <c r="IV83" t="e">
        <f>AND(#REF!,"AAAAAFf/df8=")</f>
        <v>#REF!</v>
      </c>
    </row>
    <row r="84" spans="1:256" x14ac:dyDescent="0.15">
      <c r="A84" t="e">
        <f>AND(#REF!,"AAAAAFv6/gA=")</f>
        <v>#REF!</v>
      </c>
      <c r="B84" t="e">
        <f>AND(#REF!,"AAAAAFv6/gE=")</f>
        <v>#REF!</v>
      </c>
      <c r="C84" t="e">
        <f>AND(#REF!,"AAAAAFv6/gI=")</f>
        <v>#REF!</v>
      </c>
      <c r="D84" t="e">
        <f>AND(#REF!,"AAAAAFv6/gM=")</f>
        <v>#REF!</v>
      </c>
      <c r="E84" t="e">
        <f>AND(#REF!,"AAAAAFv6/gQ=")</f>
        <v>#REF!</v>
      </c>
      <c r="F84" t="e">
        <f>AND(#REF!,"AAAAAFv6/gU=")</f>
        <v>#REF!</v>
      </c>
      <c r="G84" t="e">
        <f>AND(#REF!,"AAAAAFv6/gY=")</f>
        <v>#REF!</v>
      </c>
      <c r="H84" t="e">
        <f>AND(#REF!,"AAAAAFv6/gc=")</f>
        <v>#REF!</v>
      </c>
      <c r="I84" t="e">
        <f>AND(#REF!,"AAAAAFv6/gg=")</f>
        <v>#REF!</v>
      </c>
      <c r="J84" t="e">
        <f>AND(#REF!,"AAAAAFv6/gk=")</f>
        <v>#REF!</v>
      </c>
      <c r="K84" t="e">
        <f>AND(#REF!,"AAAAAFv6/go=")</f>
        <v>#REF!</v>
      </c>
      <c r="L84" t="e">
        <f>AND(#REF!,"AAAAAFv6/gs=")</f>
        <v>#REF!</v>
      </c>
      <c r="M84" t="e">
        <f>AND(#REF!,"AAAAAFv6/gw=")</f>
        <v>#REF!</v>
      </c>
      <c r="N84" t="e">
        <f>IF(#REF!,"AAAAAFv6/g0=",0)</f>
        <v>#REF!</v>
      </c>
      <c r="O84" t="e">
        <f>AND(#REF!,"AAAAAFv6/g4=")</f>
        <v>#REF!</v>
      </c>
      <c r="P84" t="e">
        <f>AND(#REF!,"AAAAAFv6/g8=")</f>
        <v>#REF!</v>
      </c>
      <c r="Q84" t="e">
        <f>AND(#REF!,"AAAAAFv6/hA=")</f>
        <v>#REF!</v>
      </c>
      <c r="R84" t="e">
        <f>AND(#REF!,"AAAAAFv6/hE=")</f>
        <v>#REF!</v>
      </c>
      <c r="S84" t="e">
        <f>AND(#REF!,"AAAAAFv6/hI=")</f>
        <v>#REF!</v>
      </c>
      <c r="T84" t="e">
        <f>AND(#REF!,"AAAAAFv6/hM=")</f>
        <v>#REF!</v>
      </c>
      <c r="U84" t="e">
        <f>AND(#REF!,"AAAAAFv6/hQ=")</f>
        <v>#REF!</v>
      </c>
      <c r="V84" t="e">
        <f>AND(#REF!,"AAAAAFv6/hU=")</f>
        <v>#REF!</v>
      </c>
      <c r="W84" t="e">
        <f>AND(#REF!,"AAAAAFv6/hY=")</f>
        <v>#REF!</v>
      </c>
      <c r="X84" t="e">
        <f>AND(#REF!,"AAAAAFv6/hc=")</f>
        <v>#REF!</v>
      </c>
      <c r="Y84" t="e">
        <f>AND(#REF!,"AAAAAFv6/hg=")</f>
        <v>#REF!</v>
      </c>
      <c r="Z84" t="e">
        <f>AND(#REF!,"AAAAAFv6/hk=")</f>
        <v>#REF!</v>
      </c>
      <c r="AA84" t="e">
        <f>AND(#REF!,"AAAAAFv6/ho=")</f>
        <v>#REF!</v>
      </c>
      <c r="AB84" t="e">
        <f>AND(#REF!,"AAAAAFv6/hs=")</f>
        <v>#REF!</v>
      </c>
      <c r="AC84" t="e">
        <f>IF(#REF!,"AAAAAFv6/hw=",0)</f>
        <v>#REF!</v>
      </c>
      <c r="AD84" t="e">
        <f>AND(#REF!,"AAAAAFv6/h0=")</f>
        <v>#REF!</v>
      </c>
      <c r="AE84" t="e">
        <f>AND(#REF!,"AAAAAFv6/h4=")</f>
        <v>#REF!</v>
      </c>
      <c r="AF84" t="e">
        <f>AND(#REF!,"AAAAAFv6/h8=")</f>
        <v>#REF!</v>
      </c>
      <c r="AG84" t="e">
        <f>AND(#REF!,"AAAAAFv6/iA=")</f>
        <v>#REF!</v>
      </c>
      <c r="AH84" t="e">
        <f>AND(#REF!,"AAAAAFv6/iE=")</f>
        <v>#REF!</v>
      </c>
      <c r="AI84" t="e">
        <f>AND(#REF!,"AAAAAFv6/iI=")</f>
        <v>#REF!</v>
      </c>
      <c r="AJ84" t="e">
        <f>AND(#REF!,"AAAAAFv6/iM=")</f>
        <v>#REF!</v>
      </c>
      <c r="AK84" t="e">
        <f>AND(#REF!,"AAAAAFv6/iQ=")</f>
        <v>#REF!</v>
      </c>
      <c r="AL84" t="e">
        <f>AND(#REF!,"AAAAAFv6/iU=")</f>
        <v>#REF!</v>
      </c>
      <c r="AM84" t="e">
        <f>AND(#REF!,"AAAAAFv6/iY=")</f>
        <v>#REF!</v>
      </c>
      <c r="AN84" t="e">
        <f>AND(#REF!,"AAAAAFv6/ic=")</f>
        <v>#REF!</v>
      </c>
      <c r="AO84" t="e">
        <f>AND(#REF!,"AAAAAFv6/ig=")</f>
        <v>#REF!</v>
      </c>
      <c r="AP84" t="e">
        <f>AND(#REF!,"AAAAAFv6/ik=")</f>
        <v>#REF!</v>
      </c>
      <c r="AQ84" t="e">
        <f>AND(#REF!,"AAAAAFv6/io=")</f>
        <v>#REF!</v>
      </c>
      <c r="AR84" t="e">
        <f>IF(#REF!,"AAAAAFv6/is=",0)</f>
        <v>#REF!</v>
      </c>
      <c r="AS84" t="e">
        <f>AND(#REF!,"AAAAAFv6/iw=")</f>
        <v>#REF!</v>
      </c>
      <c r="AT84" t="e">
        <f>AND(#REF!,"AAAAAFv6/i0=")</f>
        <v>#REF!</v>
      </c>
      <c r="AU84" t="e">
        <f>AND(#REF!,"AAAAAFv6/i4=")</f>
        <v>#REF!</v>
      </c>
      <c r="AV84" t="e">
        <f>AND(#REF!,"AAAAAFv6/i8=")</f>
        <v>#REF!</v>
      </c>
      <c r="AW84" t="e">
        <f>AND(#REF!,"AAAAAFv6/jA=")</f>
        <v>#REF!</v>
      </c>
      <c r="AX84" t="e">
        <f>AND(#REF!,"AAAAAFv6/jE=")</f>
        <v>#REF!</v>
      </c>
      <c r="AY84" t="e">
        <f>AND(#REF!,"AAAAAFv6/jI=")</f>
        <v>#REF!</v>
      </c>
      <c r="AZ84" t="e">
        <f>AND(#REF!,"AAAAAFv6/jM=")</f>
        <v>#REF!</v>
      </c>
      <c r="BA84" t="e">
        <f>AND(#REF!,"AAAAAFv6/jQ=")</f>
        <v>#REF!</v>
      </c>
      <c r="BB84" t="e">
        <f>AND(#REF!,"AAAAAFv6/jU=")</f>
        <v>#REF!</v>
      </c>
      <c r="BC84" t="e">
        <f>AND(#REF!,"AAAAAFv6/jY=")</f>
        <v>#REF!</v>
      </c>
      <c r="BD84" t="e">
        <f>AND(#REF!,"AAAAAFv6/jc=")</f>
        <v>#REF!</v>
      </c>
      <c r="BE84" t="e">
        <f>AND(#REF!,"AAAAAFv6/jg=")</f>
        <v>#REF!</v>
      </c>
      <c r="BF84" t="e">
        <f>AND(#REF!,"AAAAAFv6/jk=")</f>
        <v>#REF!</v>
      </c>
      <c r="BG84" t="e">
        <f>IF(#REF!,"AAAAAFv6/jo=",0)</f>
        <v>#REF!</v>
      </c>
      <c r="BH84" t="e">
        <f>AND(#REF!,"AAAAAFv6/js=")</f>
        <v>#REF!</v>
      </c>
      <c r="BI84" t="e">
        <f>AND(#REF!,"AAAAAFv6/jw=")</f>
        <v>#REF!</v>
      </c>
      <c r="BJ84" t="e">
        <f>AND(#REF!,"AAAAAFv6/j0=")</f>
        <v>#REF!</v>
      </c>
      <c r="BK84" t="e">
        <f>AND(#REF!,"AAAAAFv6/j4=")</f>
        <v>#REF!</v>
      </c>
      <c r="BL84" t="e">
        <f>AND(#REF!,"AAAAAFv6/j8=")</f>
        <v>#REF!</v>
      </c>
      <c r="BM84" t="e">
        <f>AND(#REF!,"AAAAAFv6/kA=")</f>
        <v>#REF!</v>
      </c>
      <c r="BN84" t="e">
        <f>AND(#REF!,"AAAAAFv6/kE=")</f>
        <v>#REF!</v>
      </c>
      <c r="BO84" t="e">
        <f>AND(#REF!,"AAAAAFv6/kI=")</f>
        <v>#REF!</v>
      </c>
      <c r="BP84" t="e">
        <f>AND(#REF!,"AAAAAFv6/kM=")</f>
        <v>#REF!</v>
      </c>
      <c r="BQ84" t="e">
        <f>AND(#REF!,"AAAAAFv6/kQ=")</f>
        <v>#REF!</v>
      </c>
      <c r="BR84" t="e">
        <f>AND(#REF!,"AAAAAFv6/kU=")</f>
        <v>#REF!</v>
      </c>
      <c r="BS84" t="e">
        <f>AND(#REF!,"AAAAAFv6/kY=")</f>
        <v>#REF!</v>
      </c>
      <c r="BT84" t="e">
        <f>AND(#REF!,"AAAAAFv6/kc=")</f>
        <v>#REF!</v>
      </c>
      <c r="BU84" t="e">
        <f>AND(#REF!,"AAAAAFv6/kg=")</f>
        <v>#REF!</v>
      </c>
      <c r="BV84" t="e">
        <f>IF(#REF!,"AAAAAFv6/kk=",0)</f>
        <v>#REF!</v>
      </c>
      <c r="BW84" t="e">
        <f>AND(#REF!,"AAAAAFv6/ko=")</f>
        <v>#REF!</v>
      </c>
      <c r="BX84" t="e">
        <f>AND(#REF!,"AAAAAFv6/ks=")</f>
        <v>#REF!</v>
      </c>
      <c r="BY84" t="e">
        <f>AND(#REF!,"AAAAAFv6/kw=")</f>
        <v>#REF!</v>
      </c>
      <c r="BZ84" t="e">
        <f>AND(#REF!,"AAAAAFv6/k0=")</f>
        <v>#REF!</v>
      </c>
      <c r="CA84" t="e">
        <f>AND(#REF!,"AAAAAFv6/k4=")</f>
        <v>#REF!</v>
      </c>
      <c r="CB84" t="e">
        <f>AND(#REF!,"AAAAAFv6/k8=")</f>
        <v>#REF!</v>
      </c>
      <c r="CC84" t="e">
        <f>AND(#REF!,"AAAAAFv6/lA=")</f>
        <v>#REF!</v>
      </c>
      <c r="CD84" t="e">
        <f>AND(#REF!,"AAAAAFv6/lE=")</f>
        <v>#REF!</v>
      </c>
      <c r="CE84" t="e">
        <f>AND(#REF!,"AAAAAFv6/lI=")</f>
        <v>#REF!</v>
      </c>
      <c r="CF84" t="e">
        <f>AND(#REF!,"AAAAAFv6/lM=")</f>
        <v>#REF!</v>
      </c>
      <c r="CG84" t="e">
        <f>AND(#REF!,"AAAAAFv6/lQ=")</f>
        <v>#REF!</v>
      </c>
      <c r="CH84" t="e">
        <f>AND(#REF!,"AAAAAFv6/lU=")</f>
        <v>#REF!</v>
      </c>
      <c r="CI84" t="e">
        <f>AND(#REF!,"AAAAAFv6/lY=")</f>
        <v>#REF!</v>
      </c>
      <c r="CJ84" t="e">
        <f>AND(#REF!,"AAAAAFv6/lc=")</f>
        <v>#REF!</v>
      </c>
      <c r="CK84" t="e">
        <f>IF(#REF!,"AAAAAFv6/lg=",0)</f>
        <v>#REF!</v>
      </c>
      <c r="CL84" t="e">
        <f>AND(#REF!,"AAAAAFv6/lk=")</f>
        <v>#REF!</v>
      </c>
      <c r="CM84" t="e">
        <f>AND(#REF!,"AAAAAFv6/lo=")</f>
        <v>#REF!</v>
      </c>
      <c r="CN84" t="e">
        <f>AND(#REF!,"AAAAAFv6/ls=")</f>
        <v>#REF!</v>
      </c>
      <c r="CO84" t="e">
        <f>AND(#REF!,"AAAAAFv6/lw=")</f>
        <v>#REF!</v>
      </c>
      <c r="CP84" t="e">
        <f>AND(#REF!,"AAAAAFv6/l0=")</f>
        <v>#REF!</v>
      </c>
      <c r="CQ84" t="e">
        <f>AND(#REF!,"AAAAAFv6/l4=")</f>
        <v>#REF!</v>
      </c>
      <c r="CR84" t="e">
        <f>AND(#REF!,"AAAAAFv6/l8=")</f>
        <v>#REF!</v>
      </c>
      <c r="CS84" t="e">
        <f>AND(#REF!,"AAAAAFv6/mA=")</f>
        <v>#REF!</v>
      </c>
      <c r="CT84" t="e">
        <f>AND(#REF!,"AAAAAFv6/mE=")</f>
        <v>#REF!</v>
      </c>
      <c r="CU84" t="e">
        <f>AND(#REF!,"AAAAAFv6/mI=")</f>
        <v>#REF!</v>
      </c>
      <c r="CV84" t="e">
        <f>AND(#REF!,"AAAAAFv6/mM=")</f>
        <v>#REF!</v>
      </c>
      <c r="CW84" t="e">
        <f>AND(#REF!,"AAAAAFv6/mQ=")</f>
        <v>#REF!</v>
      </c>
      <c r="CX84" t="e">
        <f>AND(#REF!,"AAAAAFv6/mU=")</f>
        <v>#REF!</v>
      </c>
      <c r="CY84" t="e">
        <f>AND(#REF!,"AAAAAFv6/mY=")</f>
        <v>#REF!</v>
      </c>
      <c r="CZ84" t="e">
        <f>IF(#REF!,"AAAAAFv6/mc=",0)</f>
        <v>#REF!</v>
      </c>
      <c r="DA84" t="e">
        <f>AND(#REF!,"AAAAAFv6/mg=")</f>
        <v>#REF!</v>
      </c>
      <c r="DB84" t="e">
        <f>AND(#REF!,"AAAAAFv6/mk=")</f>
        <v>#REF!</v>
      </c>
      <c r="DC84" t="e">
        <f>AND(#REF!,"AAAAAFv6/mo=")</f>
        <v>#REF!</v>
      </c>
      <c r="DD84" t="e">
        <f>AND(#REF!,"AAAAAFv6/ms=")</f>
        <v>#REF!</v>
      </c>
      <c r="DE84" t="e">
        <f>AND(#REF!,"AAAAAFv6/mw=")</f>
        <v>#REF!</v>
      </c>
      <c r="DF84" t="e">
        <f>AND(#REF!,"AAAAAFv6/m0=")</f>
        <v>#REF!</v>
      </c>
      <c r="DG84" t="e">
        <f>AND(#REF!,"AAAAAFv6/m4=")</f>
        <v>#REF!</v>
      </c>
      <c r="DH84" t="e">
        <f>AND(#REF!,"AAAAAFv6/m8=")</f>
        <v>#REF!</v>
      </c>
      <c r="DI84" t="e">
        <f>AND(#REF!,"AAAAAFv6/nA=")</f>
        <v>#REF!</v>
      </c>
      <c r="DJ84" t="e">
        <f>AND(#REF!,"AAAAAFv6/nE=")</f>
        <v>#REF!</v>
      </c>
      <c r="DK84" t="e">
        <f>AND(#REF!,"AAAAAFv6/nI=")</f>
        <v>#REF!</v>
      </c>
      <c r="DL84" t="e">
        <f>AND(#REF!,"AAAAAFv6/nM=")</f>
        <v>#REF!</v>
      </c>
      <c r="DM84" t="e">
        <f>AND(#REF!,"AAAAAFv6/nQ=")</f>
        <v>#REF!</v>
      </c>
      <c r="DN84" t="e">
        <f>AND(#REF!,"AAAAAFv6/nU=")</f>
        <v>#REF!</v>
      </c>
      <c r="DO84" t="e">
        <f>IF(#REF!,"AAAAAFv6/nY=",0)</f>
        <v>#REF!</v>
      </c>
      <c r="DP84" t="e">
        <f>AND(#REF!,"AAAAAFv6/nc=")</f>
        <v>#REF!</v>
      </c>
      <c r="DQ84" t="e">
        <f>AND(#REF!,"AAAAAFv6/ng=")</f>
        <v>#REF!</v>
      </c>
      <c r="DR84" t="e">
        <f>AND(#REF!,"AAAAAFv6/nk=")</f>
        <v>#REF!</v>
      </c>
      <c r="DS84" t="e">
        <f>AND(#REF!,"AAAAAFv6/no=")</f>
        <v>#REF!</v>
      </c>
      <c r="DT84" t="e">
        <f>AND(#REF!,"AAAAAFv6/ns=")</f>
        <v>#REF!</v>
      </c>
      <c r="DU84" t="e">
        <f>AND(#REF!,"AAAAAFv6/nw=")</f>
        <v>#REF!</v>
      </c>
      <c r="DV84" t="e">
        <f>AND(#REF!,"AAAAAFv6/n0=")</f>
        <v>#REF!</v>
      </c>
      <c r="DW84" t="e">
        <f>AND(#REF!,"AAAAAFv6/n4=")</f>
        <v>#REF!</v>
      </c>
      <c r="DX84" t="e">
        <f>AND(#REF!,"AAAAAFv6/n8=")</f>
        <v>#REF!</v>
      </c>
      <c r="DY84" t="e">
        <f>AND(#REF!,"AAAAAFv6/oA=")</f>
        <v>#REF!</v>
      </c>
      <c r="DZ84" t="e">
        <f>AND(#REF!,"AAAAAFv6/oE=")</f>
        <v>#REF!</v>
      </c>
      <c r="EA84" t="e">
        <f>AND(#REF!,"AAAAAFv6/oI=")</f>
        <v>#REF!</v>
      </c>
      <c r="EB84" t="e">
        <f>AND(#REF!,"AAAAAFv6/oM=")</f>
        <v>#REF!</v>
      </c>
      <c r="EC84" t="e">
        <f>AND(#REF!,"AAAAAFv6/oQ=")</f>
        <v>#REF!</v>
      </c>
      <c r="ED84" t="e">
        <f>IF(#REF!,"AAAAAFv6/oU=",0)</f>
        <v>#REF!</v>
      </c>
      <c r="EE84" t="e">
        <f>AND(#REF!,"AAAAAFv6/oY=")</f>
        <v>#REF!</v>
      </c>
      <c r="EF84" t="e">
        <f>AND(#REF!,"AAAAAFv6/oc=")</f>
        <v>#REF!</v>
      </c>
      <c r="EG84" t="e">
        <f>AND(#REF!,"AAAAAFv6/og=")</f>
        <v>#REF!</v>
      </c>
      <c r="EH84" t="e">
        <f>AND(#REF!,"AAAAAFv6/ok=")</f>
        <v>#REF!</v>
      </c>
      <c r="EI84" t="e">
        <f>AND(#REF!,"AAAAAFv6/oo=")</f>
        <v>#REF!</v>
      </c>
      <c r="EJ84" t="e">
        <f>AND(#REF!,"AAAAAFv6/os=")</f>
        <v>#REF!</v>
      </c>
      <c r="EK84" t="e">
        <f>AND(#REF!,"AAAAAFv6/ow=")</f>
        <v>#REF!</v>
      </c>
      <c r="EL84" t="e">
        <f>AND(#REF!,"AAAAAFv6/o0=")</f>
        <v>#REF!</v>
      </c>
      <c r="EM84" t="e">
        <f>AND(#REF!,"AAAAAFv6/o4=")</f>
        <v>#REF!</v>
      </c>
      <c r="EN84" t="e">
        <f>AND(#REF!,"AAAAAFv6/o8=")</f>
        <v>#REF!</v>
      </c>
      <c r="EO84" t="e">
        <f>AND(#REF!,"AAAAAFv6/pA=")</f>
        <v>#REF!</v>
      </c>
      <c r="EP84" t="e">
        <f>AND(#REF!,"AAAAAFv6/pE=")</f>
        <v>#REF!</v>
      </c>
      <c r="EQ84" t="e">
        <f>AND(#REF!,"AAAAAFv6/pI=")</f>
        <v>#REF!</v>
      </c>
      <c r="ER84" t="e">
        <f>AND(#REF!,"AAAAAFv6/pM=")</f>
        <v>#REF!</v>
      </c>
      <c r="ES84" t="e">
        <f>IF(#REF!,"AAAAAFv6/pQ=",0)</f>
        <v>#REF!</v>
      </c>
      <c r="ET84" t="e">
        <f>AND(#REF!,"AAAAAFv6/pU=")</f>
        <v>#REF!</v>
      </c>
      <c r="EU84" t="e">
        <f>AND(#REF!,"AAAAAFv6/pY=")</f>
        <v>#REF!</v>
      </c>
      <c r="EV84" t="e">
        <f>AND(#REF!,"AAAAAFv6/pc=")</f>
        <v>#REF!</v>
      </c>
      <c r="EW84" t="e">
        <f>AND(#REF!,"AAAAAFv6/pg=")</f>
        <v>#REF!</v>
      </c>
      <c r="EX84" t="e">
        <f>AND(#REF!,"AAAAAFv6/pk=")</f>
        <v>#REF!</v>
      </c>
      <c r="EY84" t="e">
        <f>AND(#REF!,"AAAAAFv6/po=")</f>
        <v>#REF!</v>
      </c>
      <c r="EZ84" t="e">
        <f>AND(#REF!,"AAAAAFv6/ps=")</f>
        <v>#REF!</v>
      </c>
      <c r="FA84" t="e">
        <f>AND(#REF!,"AAAAAFv6/pw=")</f>
        <v>#REF!</v>
      </c>
      <c r="FB84" t="e">
        <f>AND(#REF!,"AAAAAFv6/p0=")</f>
        <v>#REF!</v>
      </c>
      <c r="FC84" t="e">
        <f>AND(#REF!,"AAAAAFv6/p4=")</f>
        <v>#REF!</v>
      </c>
      <c r="FD84" t="e">
        <f>AND(#REF!,"AAAAAFv6/p8=")</f>
        <v>#REF!</v>
      </c>
      <c r="FE84" t="e">
        <f>AND(#REF!,"AAAAAFv6/qA=")</f>
        <v>#REF!</v>
      </c>
      <c r="FF84" t="e">
        <f>AND(#REF!,"AAAAAFv6/qE=")</f>
        <v>#REF!</v>
      </c>
      <c r="FG84" t="e">
        <f>AND(#REF!,"AAAAAFv6/qI=")</f>
        <v>#REF!</v>
      </c>
      <c r="FH84" t="e">
        <f>IF(#REF!,"AAAAAFv6/qM=",0)</f>
        <v>#REF!</v>
      </c>
      <c r="FI84" t="e">
        <f>AND(#REF!,"AAAAAFv6/qQ=")</f>
        <v>#REF!</v>
      </c>
      <c r="FJ84" t="e">
        <f>AND(#REF!,"AAAAAFv6/qU=")</f>
        <v>#REF!</v>
      </c>
      <c r="FK84" t="e">
        <f>AND(#REF!,"AAAAAFv6/qY=")</f>
        <v>#REF!</v>
      </c>
      <c r="FL84" t="e">
        <f>AND(#REF!,"AAAAAFv6/qc=")</f>
        <v>#REF!</v>
      </c>
      <c r="FM84" t="e">
        <f>AND(#REF!,"AAAAAFv6/qg=")</f>
        <v>#REF!</v>
      </c>
      <c r="FN84" t="e">
        <f>AND(#REF!,"AAAAAFv6/qk=")</f>
        <v>#REF!</v>
      </c>
      <c r="FO84" t="e">
        <f>AND(#REF!,"AAAAAFv6/qo=")</f>
        <v>#REF!</v>
      </c>
      <c r="FP84" t="e">
        <f>AND(#REF!,"AAAAAFv6/qs=")</f>
        <v>#REF!</v>
      </c>
      <c r="FQ84" t="e">
        <f>AND(#REF!,"AAAAAFv6/qw=")</f>
        <v>#REF!</v>
      </c>
      <c r="FR84" t="e">
        <f>AND(#REF!,"AAAAAFv6/q0=")</f>
        <v>#REF!</v>
      </c>
      <c r="FS84" t="e">
        <f>AND(#REF!,"AAAAAFv6/q4=")</f>
        <v>#REF!</v>
      </c>
      <c r="FT84" t="e">
        <f>AND(#REF!,"AAAAAFv6/q8=")</f>
        <v>#REF!</v>
      </c>
      <c r="FU84" t="e">
        <f>AND(#REF!,"AAAAAFv6/rA=")</f>
        <v>#REF!</v>
      </c>
      <c r="FV84" t="e">
        <f>AND(#REF!,"AAAAAFv6/rE=")</f>
        <v>#REF!</v>
      </c>
      <c r="FW84" t="e">
        <f>IF(#REF!,"AAAAAFv6/rI=",0)</f>
        <v>#REF!</v>
      </c>
      <c r="FX84" t="e">
        <f>AND(#REF!,"AAAAAFv6/rM=")</f>
        <v>#REF!</v>
      </c>
      <c r="FY84" t="e">
        <f>AND(#REF!,"AAAAAFv6/rQ=")</f>
        <v>#REF!</v>
      </c>
      <c r="FZ84" t="e">
        <f>AND(#REF!,"AAAAAFv6/rU=")</f>
        <v>#REF!</v>
      </c>
      <c r="GA84" t="e">
        <f>AND(#REF!,"AAAAAFv6/rY=")</f>
        <v>#REF!</v>
      </c>
      <c r="GB84" t="e">
        <f>AND(#REF!,"AAAAAFv6/rc=")</f>
        <v>#REF!</v>
      </c>
      <c r="GC84" t="e">
        <f>AND(#REF!,"AAAAAFv6/rg=")</f>
        <v>#REF!</v>
      </c>
      <c r="GD84" t="e">
        <f>AND(#REF!,"AAAAAFv6/rk=")</f>
        <v>#REF!</v>
      </c>
      <c r="GE84" t="e">
        <f>AND(#REF!,"AAAAAFv6/ro=")</f>
        <v>#REF!</v>
      </c>
      <c r="GF84" t="e">
        <f>AND(#REF!,"AAAAAFv6/rs=")</f>
        <v>#REF!</v>
      </c>
      <c r="GG84" t="e">
        <f>AND(#REF!,"AAAAAFv6/rw=")</f>
        <v>#REF!</v>
      </c>
      <c r="GH84" t="e">
        <f>AND(#REF!,"AAAAAFv6/r0=")</f>
        <v>#REF!</v>
      </c>
      <c r="GI84" t="e">
        <f>AND(#REF!,"AAAAAFv6/r4=")</f>
        <v>#REF!</v>
      </c>
      <c r="GJ84" t="e">
        <f>AND(#REF!,"AAAAAFv6/r8=")</f>
        <v>#REF!</v>
      </c>
      <c r="GK84" t="e">
        <f>AND(#REF!,"AAAAAFv6/sA=")</f>
        <v>#REF!</v>
      </c>
      <c r="GL84" t="e">
        <f>IF(#REF!,"AAAAAFv6/sE=",0)</f>
        <v>#REF!</v>
      </c>
      <c r="GM84" t="e">
        <f>AND(#REF!,"AAAAAFv6/sI=")</f>
        <v>#REF!</v>
      </c>
      <c r="GN84" t="e">
        <f>AND(#REF!,"AAAAAFv6/sM=")</f>
        <v>#REF!</v>
      </c>
      <c r="GO84" t="e">
        <f>AND(#REF!,"AAAAAFv6/sQ=")</f>
        <v>#REF!</v>
      </c>
      <c r="GP84" t="e">
        <f>AND(#REF!,"AAAAAFv6/sU=")</f>
        <v>#REF!</v>
      </c>
      <c r="GQ84" t="e">
        <f>AND(#REF!,"AAAAAFv6/sY=")</f>
        <v>#REF!</v>
      </c>
      <c r="GR84" t="e">
        <f>AND(#REF!,"AAAAAFv6/sc=")</f>
        <v>#REF!</v>
      </c>
      <c r="GS84" t="e">
        <f>AND(#REF!,"AAAAAFv6/sg=")</f>
        <v>#REF!</v>
      </c>
      <c r="GT84" t="e">
        <f>AND(#REF!,"AAAAAFv6/sk=")</f>
        <v>#REF!</v>
      </c>
      <c r="GU84" t="e">
        <f>AND(#REF!,"AAAAAFv6/so=")</f>
        <v>#REF!</v>
      </c>
      <c r="GV84" t="e">
        <f>AND(#REF!,"AAAAAFv6/ss=")</f>
        <v>#REF!</v>
      </c>
      <c r="GW84" t="e">
        <f>AND(#REF!,"AAAAAFv6/sw=")</f>
        <v>#REF!</v>
      </c>
      <c r="GX84" t="e">
        <f>AND(#REF!,"AAAAAFv6/s0=")</f>
        <v>#REF!</v>
      </c>
      <c r="GY84" t="e">
        <f>AND(#REF!,"AAAAAFv6/s4=")</f>
        <v>#REF!</v>
      </c>
      <c r="GZ84" t="e">
        <f>AND(#REF!,"AAAAAFv6/s8=")</f>
        <v>#REF!</v>
      </c>
      <c r="HA84" t="e">
        <f>IF(#REF!,"AAAAAFv6/tA=",0)</f>
        <v>#REF!</v>
      </c>
      <c r="HB84" t="e">
        <f>AND(#REF!,"AAAAAFv6/tE=")</f>
        <v>#REF!</v>
      </c>
      <c r="HC84" t="e">
        <f>AND(#REF!,"AAAAAFv6/tI=")</f>
        <v>#REF!</v>
      </c>
      <c r="HD84" t="e">
        <f>AND(#REF!,"AAAAAFv6/tM=")</f>
        <v>#REF!</v>
      </c>
      <c r="HE84" t="e">
        <f>AND(#REF!,"AAAAAFv6/tQ=")</f>
        <v>#REF!</v>
      </c>
      <c r="HF84" t="e">
        <f>AND(#REF!,"AAAAAFv6/tU=")</f>
        <v>#REF!</v>
      </c>
      <c r="HG84" t="e">
        <f>AND(#REF!,"AAAAAFv6/tY=")</f>
        <v>#REF!</v>
      </c>
      <c r="HH84" t="e">
        <f>AND(#REF!,"AAAAAFv6/tc=")</f>
        <v>#REF!</v>
      </c>
      <c r="HI84" t="e">
        <f>AND(#REF!,"AAAAAFv6/tg=")</f>
        <v>#REF!</v>
      </c>
      <c r="HJ84" t="e">
        <f>AND(#REF!,"AAAAAFv6/tk=")</f>
        <v>#REF!</v>
      </c>
      <c r="HK84" t="e">
        <f>AND(#REF!,"AAAAAFv6/to=")</f>
        <v>#REF!</v>
      </c>
      <c r="HL84" t="e">
        <f>AND(#REF!,"AAAAAFv6/ts=")</f>
        <v>#REF!</v>
      </c>
      <c r="HM84" t="e">
        <f>AND(#REF!,"AAAAAFv6/tw=")</f>
        <v>#REF!</v>
      </c>
      <c r="HN84" t="e">
        <f>AND(#REF!,"AAAAAFv6/t0=")</f>
        <v>#REF!</v>
      </c>
      <c r="HO84" t="e">
        <f>AND(#REF!,"AAAAAFv6/t4=")</f>
        <v>#REF!</v>
      </c>
      <c r="HP84" t="e">
        <f>IF(#REF!,"AAAAAFv6/t8=",0)</f>
        <v>#REF!</v>
      </c>
      <c r="HQ84" t="e">
        <f>AND(#REF!,"AAAAAFv6/uA=")</f>
        <v>#REF!</v>
      </c>
      <c r="HR84" t="e">
        <f>AND(#REF!,"AAAAAFv6/uE=")</f>
        <v>#REF!</v>
      </c>
      <c r="HS84" t="e">
        <f>AND(#REF!,"AAAAAFv6/uI=")</f>
        <v>#REF!</v>
      </c>
      <c r="HT84" t="e">
        <f>AND(#REF!,"AAAAAFv6/uM=")</f>
        <v>#REF!</v>
      </c>
      <c r="HU84" t="e">
        <f>AND(#REF!,"AAAAAFv6/uQ=")</f>
        <v>#REF!</v>
      </c>
      <c r="HV84" t="e">
        <f>AND(#REF!,"AAAAAFv6/uU=")</f>
        <v>#REF!</v>
      </c>
      <c r="HW84" t="e">
        <f>AND(#REF!,"AAAAAFv6/uY=")</f>
        <v>#REF!</v>
      </c>
      <c r="HX84" t="e">
        <f>AND(#REF!,"AAAAAFv6/uc=")</f>
        <v>#REF!</v>
      </c>
      <c r="HY84" t="e">
        <f>AND(#REF!,"AAAAAFv6/ug=")</f>
        <v>#REF!</v>
      </c>
      <c r="HZ84" t="e">
        <f>AND(#REF!,"AAAAAFv6/uk=")</f>
        <v>#REF!</v>
      </c>
      <c r="IA84" t="e">
        <f>AND(#REF!,"AAAAAFv6/uo=")</f>
        <v>#REF!</v>
      </c>
      <c r="IB84" t="e">
        <f>AND(#REF!,"AAAAAFv6/us=")</f>
        <v>#REF!</v>
      </c>
      <c r="IC84" t="e">
        <f>AND(#REF!,"AAAAAFv6/uw=")</f>
        <v>#REF!</v>
      </c>
      <c r="ID84" t="e">
        <f>AND(#REF!,"AAAAAFv6/u0=")</f>
        <v>#REF!</v>
      </c>
      <c r="IE84" t="e">
        <f>IF(#REF!,"AAAAAFv6/u4=",0)</f>
        <v>#REF!</v>
      </c>
      <c r="IF84" t="e">
        <f>AND(#REF!,"AAAAAFv6/u8=")</f>
        <v>#REF!</v>
      </c>
      <c r="IG84" t="e">
        <f>AND(#REF!,"AAAAAFv6/vA=")</f>
        <v>#REF!</v>
      </c>
      <c r="IH84" t="e">
        <f>AND(#REF!,"AAAAAFv6/vE=")</f>
        <v>#REF!</v>
      </c>
      <c r="II84" t="e">
        <f>AND(#REF!,"AAAAAFv6/vI=")</f>
        <v>#REF!</v>
      </c>
      <c r="IJ84" t="e">
        <f>AND(#REF!,"AAAAAFv6/vM=")</f>
        <v>#REF!</v>
      </c>
      <c r="IK84" t="e">
        <f>AND(#REF!,"AAAAAFv6/vQ=")</f>
        <v>#REF!</v>
      </c>
      <c r="IL84" t="e">
        <f>AND(#REF!,"AAAAAFv6/vU=")</f>
        <v>#REF!</v>
      </c>
      <c r="IM84" t="e">
        <f>AND(#REF!,"AAAAAFv6/vY=")</f>
        <v>#REF!</v>
      </c>
      <c r="IN84" t="e">
        <f>AND(#REF!,"AAAAAFv6/vc=")</f>
        <v>#REF!</v>
      </c>
      <c r="IO84" t="e">
        <f>AND(#REF!,"AAAAAFv6/vg=")</f>
        <v>#REF!</v>
      </c>
      <c r="IP84" t="e">
        <f>AND(#REF!,"AAAAAFv6/vk=")</f>
        <v>#REF!</v>
      </c>
      <c r="IQ84" t="e">
        <f>AND(#REF!,"AAAAAFv6/vo=")</f>
        <v>#REF!</v>
      </c>
      <c r="IR84" t="e">
        <f>AND(#REF!,"AAAAAFv6/vs=")</f>
        <v>#REF!</v>
      </c>
      <c r="IS84" t="e">
        <f>AND(#REF!,"AAAAAFv6/vw=")</f>
        <v>#REF!</v>
      </c>
      <c r="IT84" t="e">
        <f>IF(#REF!,"AAAAAFv6/v0=",0)</f>
        <v>#REF!</v>
      </c>
      <c r="IU84" t="e">
        <f>AND(#REF!,"AAAAAFv6/v4=")</f>
        <v>#REF!</v>
      </c>
      <c r="IV84" t="e">
        <f>AND(#REF!,"AAAAAFv6/v8=")</f>
        <v>#REF!</v>
      </c>
    </row>
    <row r="85" spans="1:256" x14ac:dyDescent="0.15">
      <c r="A85" t="e">
        <f>AND(#REF!,"AAAAAHt4egA=")</f>
        <v>#REF!</v>
      </c>
      <c r="B85" t="e">
        <f>AND(#REF!,"AAAAAHt4egE=")</f>
        <v>#REF!</v>
      </c>
      <c r="C85" t="e">
        <f>AND(#REF!,"AAAAAHt4egI=")</f>
        <v>#REF!</v>
      </c>
      <c r="D85" t="e">
        <f>AND(#REF!,"AAAAAHt4egM=")</f>
        <v>#REF!</v>
      </c>
      <c r="E85" t="e">
        <f>AND(#REF!,"AAAAAHt4egQ=")</f>
        <v>#REF!</v>
      </c>
      <c r="F85" t="e">
        <f>AND(#REF!,"AAAAAHt4egU=")</f>
        <v>#REF!</v>
      </c>
      <c r="G85" t="e">
        <f>AND(#REF!,"AAAAAHt4egY=")</f>
        <v>#REF!</v>
      </c>
      <c r="H85" t="e">
        <f>AND(#REF!,"AAAAAHt4egc=")</f>
        <v>#REF!</v>
      </c>
      <c r="I85" t="e">
        <f>AND(#REF!,"AAAAAHt4egg=")</f>
        <v>#REF!</v>
      </c>
      <c r="J85" t="e">
        <f>AND(#REF!,"AAAAAHt4egk=")</f>
        <v>#REF!</v>
      </c>
      <c r="K85" t="e">
        <f>AND(#REF!,"AAAAAHt4ego=")</f>
        <v>#REF!</v>
      </c>
      <c r="L85" t="e">
        <f>AND(#REF!,"AAAAAHt4egs=")</f>
        <v>#REF!</v>
      </c>
      <c r="M85" t="e">
        <f>IF(#REF!,"AAAAAHt4egw=",0)</f>
        <v>#REF!</v>
      </c>
      <c r="N85" t="e">
        <f>AND(#REF!,"AAAAAHt4eg0=")</f>
        <v>#REF!</v>
      </c>
      <c r="O85" t="e">
        <f>AND(#REF!,"AAAAAHt4eg4=")</f>
        <v>#REF!</v>
      </c>
      <c r="P85" t="e">
        <f>AND(#REF!,"AAAAAHt4eg8=")</f>
        <v>#REF!</v>
      </c>
      <c r="Q85" t="e">
        <f>AND(#REF!,"AAAAAHt4ehA=")</f>
        <v>#REF!</v>
      </c>
      <c r="R85" t="e">
        <f>AND(#REF!,"AAAAAHt4ehE=")</f>
        <v>#REF!</v>
      </c>
      <c r="S85" t="e">
        <f>AND(#REF!,"AAAAAHt4ehI=")</f>
        <v>#REF!</v>
      </c>
      <c r="T85" t="e">
        <f>AND(#REF!,"AAAAAHt4ehM=")</f>
        <v>#REF!</v>
      </c>
      <c r="U85" t="e">
        <f>AND(#REF!,"AAAAAHt4ehQ=")</f>
        <v>#REF!</v>
      </c>
      <c r="V85" t="e">
        <f>AND(#REF!,"AAAAAHt4ehU=")</f>
        <v>#REF!</v>
      </c>
      <c r="W85" t="e">
        <f>AND(#REF!,"AAAAAHt4ehY=")</f>
        <v>#REF!</v>
      </c>
      <c r="X85" t="e">
        <f>AND(#REF!,"AAAAAHt4ehc=")</f>
        <v>#REF!</v>
      </c>
      <c r="Y85" t="e">
        <f>AND(#REF!,"AAAAAHt4ehg=")</f>
        <v>#REF!</v>
      </c>
      <c r="Z85" t="e">
        <f>AND(#REF!,"AAAAAHt4ehk=")</f>
        <v>#REF!</v>
      </c>
      <c r="AA85" t="e">
        <f>AND(#REF!,"AAAAAHt4eho=")</f>
        <v>#REF!</v>
      </c>
      <c r="AB85" t="e">
        <f>IF(#REF!,"AAAAAHt4ehs=",0)</f>
        <v>#REF!</v>
      </c>
      <c r="AC85" t="e">
        <f>AND(#REF!,"AAAAAHt4ehw=")</f>
        <v>#REF!</v>
      </c>
      <c r="AD85" t="e">
        <f>AND(#REF!,"AAAAAHt4eh0=")</f>
        <v>#REF!</v>
      </c>
      <c r="AE85" t="e">
        <f>AND(#REF!,"AAAAAHt4eh4=")</f>
        <v>#REF!</v>
      </c>
      <c r="AF85" t="e">
        <f>AND(#REF!,"AAAAAHt4eh8=")</f>
        <v>#REF!</v>
      </c>
      <c r="AG85" t="e">
        <f>AND(#REF!,"AAAAAHt4eiA=")</f>
        <v>#REF!</v>
      </c>
      <c r="AH85" t="e">
        <f>AND(#REF!,"AAAAAHt4eiE=")</f>
        <v>#REF!</v>
      </c>
      <c r="AI85" t="e">
        <f>AND(#REF!,"AAAAAHt4eiI=")</f>
        <v>#REF!</v>
      </c>
      <c r="AJ85" t="e">
        <f>AND(#REF!,"AAAAAHt4eiM=")</f>
        <v>#REF!</v>
      </c>
      <c r="AK85" t="e">
        <f>AND(#REF!,"AAAAAHt4eiQ=")</f>
        <v>#REF!</v>
      </c>
      <c r="AL85" t="e">
        <f>AND(#REF!,"AAAAAHt4eiU=")</f>
        <v>#REF!</v>
      </c>
      <c r="AM85" t="e">
        <f>AND(#REF!,"AAAAAHt4eiY=")</f>
        <v>#REF!</v>
      </c>
      <c r="AN85" t="e">
        <f>AND(#REF!,"AAAAAHt4eic=")</f>
        <v>#REF!</v>
      </c>
      <c r="AO85" t="e">
        <f>AND(#REF!,"AAAAAHt4eig=")</f>
        <v>#REF!</v>
      </c>
      <c r="AP85" t="e">
        <f>AND(#REF!,"AAAAAHt4eik=")</f>
        <v>#REF!</v>
      </c>
      <c r="AQ85" t="e">
        <f>IF(#REF!,"AAAAAHt4eio=",0)</f>
        <v>#REF!</v>
      </c>
      <c r="AR85" t="e">
        <f>AND(#REF!,"AAAAAHt4eis=")</f>
        <v>#REF!</v>
      </c>
      <c r="AS85" t="e">
        <f>AND(#REF!,"AAAAAHt4eiw=")</f>
        <v>#REF!</v>
      </c>
      <c r="AT85" t="e">
        <f>AND(#REF!,"AAAAAHt4ei0=")</f>
        <v>#REF!</v>
      </c>
      <c r="AU85" t="e">
        <f>AND(#REF!,"AAAAAHt4ei4=")</f>
        <v>#REF!</v>
      </c>
      <c r="AV85" t="e">
        <f>AND(#REF!,"AAAAAHt4ei8=")</f>
        <v>#REF!</v>
      </c>
      <c r="AW85" t="e">
        <f>AND(#REF!,"AAAAAHt4ejA=")</f>
        <v>#REF!</v>
      </c>
      <c r="AX85" t="e">
        <f>AND(#REF!,"AAAAAHt4ejE=")</f>
        <v>#REF!</v>
      </c>
      <c r="AY85" t="e">
        <f>AND(#REF!,"AAAAAHt4ejI=")</f>
        <v>#REF!</v>
      </c>
      <c r="AZ85" t="e">
        <f>AND(#REF!,"AAAAAHt4ejM=")</f>
        <v>#REF!</v>
      </c>
      <c r="BA85" t="e">
        <f>AND(#REF!,"AAAAAHt4ejQ=")</f>
        <v>#REF!</v>
      </c>
      <c r="BB85" t="e">
        <f>AND(#REF!,"AAAAAHt4ejU=")</f>
        <v>#REF!</v>
      </c>
      <c r="BC85" t="e">
        <f>AND(#REF!,"AAAAAHt4ejY=")</f>
        <v>#REF!</v>
      </c>
      <c r="BD85" t="e">
        <f>AND(#REF!,"AAAAAHt4ejc=")</f>
        <v>#REF!</v>
      </c>
      <c r="BE85" t="e">
        <f>AND(#REF!,"AAAAAHt4ejg=")</f>
        <v>#REF!</v>
      </c>
      <c r="BF85" t="e">
        <f>IF(#REF!,"AAAAAHt4ejk=",0)</f>
        <v>#REF!</v>
      </c>
      <c r="BG85" t="e">
        <f>AND(#REF!,"AAAAAHt4ejo=")</f>
        <v>#REF!</v>
      </c>
      <c r="BH85" t="e">
        <f>AND(#REF!,"AAAAAHt4ejs=")</f>
        <v>#REF!</v>
      </c>
      <c r="BI85" t="e">
        <f>AND(#REF!,"AAAAAHt4ejw=")</f>
        <v>#REF!</v>
      </c>
      <c r="BJ85" t="e">
        <f>AND(#REF!,"AAAAAHt4ej0=")</f>
        <v>#REF!</v>
      </c>
      <c r="BK85" t="e">
        <f>AND(#REF!,"AAAAAHt4ej4=")</f>
        <v>#REF!</v>
      </c>
      <c r="BL85" t="e">
        <f>AND(#REF!,"AAAAAHt4ej8=")</f>
        <v>#REF!</v>
      </c>
      <c r="BM85" t="e">
        <f>AND(#REF!,"AAAAAHt4ekA=")</f>
        <v>#REF!</v>
      </c>
      <c r="BN85" t="e">
        <f>AND(#REF!,"AAAAAHt4ekE=")</f>
        <v>#REF!</v>
      </c>
      <c r="BO85" t="e">
        <f>AND(#REF!,"AAAAAHt4ekI=")</f>
        <v>#REF!</v>
      </c>
      <c r="BP85" t="e">
        <f>AND(#REF!,"AAAAAHt4ekM=")</f>
        <v>#REF!</v>
      </c>
      <c r="BQ85" t="e">
        <f>AND(#REF!,"AAAAAHt4ekQ=")</f>
        <v>#REF!</v>
      </c>
      <c r="BR85" t="e">
        <f>AND(#REF!,"AAAAAHt4ekU=")</f>
        <v>#REF!</v>
      </c>
      <c r="BS85" t="e">
        <f>AND(#REF!,"AAAAAHt4ekY=")</f>
        <v>#REF!</v>
      </c>
      <c r="BT85" t="e">
        <f>AND(#REF!,"AAAAAHt4ekc=")</f>
        <v>#REF!</v>
      </c>
      <c r="BU85" t="e">
        <f>IF(#REF!,"AAAAAHt4ekg=",0)</f>
        <v>#REF!</v>
      </c>
      <c r="BV85" t="e">
        <f>AND(#REF!,"AAAAAHt4ekk=")</f>
        <v>#REF!</v>
      </c>
      <c r="BW85" t="e">
        <f>AND(#REF!,"AAAAAHt4eko=")</f>
        <v>#REF!</v>
      </c>
      <c r="BX85" t="e">
        <f>AND(#REF!,"AAAAAHt4eks=")</f>
        <v>#REF!</v>
      </c>
      <c r="BY85" t="e">
        <f>AND(#REF!,"AAAAAHt4ekw=")</f>
        <v>#REF!</v>
      </c>
      <c r="BZ85" t="e">
        <f>AND(#REF!,"AAAAAHt4ek0=")</f>
        <v>#REF!</v>
      </c>
      <c r="CA85" t="e">
        <f>AND(#REF!,"AAAAAHt4ek4=")</f>
        <v>#REF!</v>
      </c>
      <c r="CB85" t="e">
        <f>AND(#REF!,"AAAAAHt4ek8=")</f>
        <v>#REF!</v>
      </c>
      <c r="CC85" t="e">
        <f>AND(#REF!,"AAAAAHt4elA=")</f>
        <v>#REF!</v>
      </c>
      <c r="CD85" t="e">
        <f>AND(#REF!,"AAAAAHt4elE=")</f>
        <v>#REF!</v>
      </c>
      <c r="CE85" t="e">
        <f>AND(#REF!,"AAAAAHt4elI=")</f>
        <v>#REF!</v>
      </c>
      <c r="CF85" t="e">
        <f>AND(#REF!,"AAAAAHt4elM=")</f>
        <v>#REF!</v>
      </c>
      <c r="CG85" t="e">
        <f>AND(#REF!,"AAAAAHt4elQ=")</f>
        <v>#REF!</v>
      </c>
      <c r="CH85" t="e">
        <f>AND(#REF!,"AAAAAHt4elU=")</f>
        <v>#REF!</v>
      </c>
      <c r="CI85" t="e">
        <f>AND(#REF!,"AAAAAHt4elY=")</f>
        <v>#REF!</v>
      </c>
      <c r="CJ85" t="e">
        <f>IF(#REF!,"AAAAAHt4elc=",0)</f>
        <v>#REF!</v>
      </c>
      <c r="CK85" t="e">
        <f>AND(#REF!,"AAAAAHt4elg=")</f>
        <v>#REF!</v>
      </c>
      <c r="CL85" t="e">
        <f>AND(#REF!,"AAAAAHt4elk=")</f>
        <v>#REF!</v>
      </c>
      <c r="CM85" t="e">
        <f>AND(#REF!,"AAAAAHt4elo=")</f>
        <v>#REF!</v>
      </c>
      <c r="CN85" t="e">
        <f>AND(#REF!,"AAAAAHt4els=")</f>
        <v>#REF!</v>
      </c>
      <c r="CO85" t="e">
        <f>AND(#REF!,"AAAAAHt4elw=")</f>
        <v>#REF!</v>
      </c>
      <c r="CP85" t="e">
        <f>AND(#REF!,"AAAAAHt4el0=")</f>
        <v>#REF!</v>
      </c>
      <c r="CQ85" t="e">
        <f>AND(#REF!,"AAAAAHt4el4=")</f>
        <v>#REF!</v>
      </c>
      <c r="CR85" t="e">
        <f>AND(#REF!,"AAAAAHt4el8=")</f>
        <v>#REF!</v>
      </c>
      <c r="CS85" t="e">
        <f>AND(#REF!,"AAAAAHt4emA=")</f>
        <v>#REF!</v>
      </c>
      <c r="CT85" t="e">
        <f>AND(#REF!,"AAAAAHt4emE=")</f>
        <v>#REF!</v>
      </c>
      <c r="CU85" t="e">
        <f>AND(#REF!,"AAAAAHt4emI=")</f>
        <v>#REF!</v>
      </c>
      <c r="CV85" t="e">
        <f>AND(#REF!,"AAAAAHt4emM=")</f>
        <v>#REF!</v>
      </c>
      <c r="CW85" t="e">
        <f>AND(#REF!,"AAAAAHt4emQ=")</f>
        <v>#REF!</v>
      </c>
      <c r="CX85" t="e">
        <f>AND(#REF!,"AAAAAHt4emU=")</f>
        <v>#REF!</v>
      </c>
      <c r="CY85" t="e">
        <f>IF(#REF!,"AAAAAHt4emY=",0)</f>
        <v>#REF!</v>
      </c>
      <c r="CZ85" t="e">
        <f>AND(#REF!,"AAAAAHt4emc=")</f>
        <v>#REF!</v>
      </c>
      <c r="DA85" t="e">
        <f>AND(#REF!,"AAAAAHt4emg=")</f>
        <v>#REF!</v>
      </c>
      <c r="DB85" t="e">
        <f>AND(#REF!,"AAAAAHt4emk=")</f>
        <v>#REF!</v>
      </c>
      <c r="DC85" t="e">
        <f>AND(#REF!,"AAAAAHt4emo=")</f>
        <v>#REF!</v>
      </c>
      <c r="DD85" t="e">
        <f>AND(#REF!,"AAAAAHt4ems=")</f>
        <v>#REF!</v>
      </c>
      <c r="DE85" t="e">
        <f>AND(#REF!,"AAAAAHt4emw=")</f>
        <v>#REF!</v>
      </c>
      <c r="DF85" t="e">
        <f>AND(#REF!,"AAAAAHt4em0=")</f>
        <v>#REF!</v>
      </c>
      <c r="DG85" t="e">
        <f>AND(#REF!,"AAAAAHt4em4=")</f>
        <v>#REF!</v>
      </c>
      <c r="DH85" t="e">
        <f>AND(#REF!,"AAAAAHt4em8=")</f>
        <v>#REF!</v>
      </c>
      <c r="DI85" t="e">
        <f>AND(#REF!,"AAAAAHt4enA=")</f>
        <v>#REF!</v>
      </c>
      <c r="DJ85" t="e">
        <f>AND(#REF!,"AAAAAHt4enE=")</f>
        <v>#REF!</v>
      </c>
      <c r="DK85" t="e">
        <f>AND(#REF!,"AAAAAHt4enI=")</f>
        <v>#REF!</v>
      </c>
      <c r="DL85" t="e">
        <f>AND(#REF!,"AAAAAHt4enM=")</f>
        <v>#REF!</v>
      </c>
      <c r="DM85" t="e">
        <f>AND(#REF!,"AAAAAHt4enQ=")</f>
        <v>#REF!</v>
      </c>
      <c r="DN85" t="e">
        <f>IF(#REF!,"AAAAAHt4enU=",0)</f>
        <v>#REF!</v>
      </c>
      <c r="DO85" t="e">
        <f>AND(#REF!,"AAAAAHt4enY=")</f>
        <v>#REF!</v>
      </c>
      <c r="DP85" t="e">
        <f>AND(#REF!,"AAAAAHt4enc=")</f>
        <v>#REF!</v>
      </c>
      <c r="DQ85" t="e">
        <f>AND(#REF!,"AAAAAHt4eng=")</f>
        <v>#REF!</v>
      </c>
      <c r="DR85" t="e">
        <f>AND(#REF!,"AAAAAHt4enk=")</f>
        <v>#REF!</v>
      </c>
      <c r="DS85" t="e">
        <f>AND(#REF!,"AAAAAHt4eno=")</f>
        <v>#REF!</v>
      </c>
      <c r="DT85" t="e">
        <f>AND(#REF!,"AAAAAHt4ens=")</f>
        <v>#REF!</v>
      </c>
      <c r="DU85" t="e">
        <f>AND(#REF!,"AAAAAHt4enw=")</f>
        <v>#REF!</v>
      </c>
      <c r="DV85" t="e">
        <f>AND(#REF!,"AAAAAHt4en0=")</f>
        <v>#REF!</v>
      </c>
      <c r="DW85" t="e">
        <f>AND(#REF!,"AAAAAHt4en4=")</f>
        <v>#REF!</v>
      </c>
      <c r="DX85" t="e">
        <f>AND(#REF!,"AAAAAHt4en8=")</f>
        <v>#REF!</v>
      </c>
      <c r="DY85" t="e">
        <f>AND(#REF!,"AAAAAHt4eoA=")</f>
        <v>#REF!</v>
      </c>
      <c r="DZ85" t="e">
        <f>AND(#REF!,"AAAAAHt4eoE=")</f>
        <v>#REF!</v>
      </c>
      <c r="EA85" t="e">
        <f>AND(#REF!,"AAAAAHt4eoI=")</f>
        <v>#REF!</v>
      </c>
      <c r="EB85" t="e">
        <f>AND(#REF!,"AAAAAHt4eoM=")</f>
        <v>#REF!</v>
      </c>
      <c r="EC85" t="e">
        <f>IF(#REF!,"AAAAAHt4eoQ=",0)</f>
        <v>#REF!</v>
      </c>
      <c r="ED85" t="e">
        <f>AND(#REF!,"AAAAAHt4eoU=")</f>
        <v>#REF!</v>
      </c>
      <c r="EE85" t="e">
        <f>AND(#REF!,"AAAAAHt4eoY=")</f>
        <v>#REF!</v>
      </c>
      <c r="EF85" t="e">
        <f>AND(#REF!,"AAAAAHt4eoc=")</f>
        <v>#REF!</v>
      </c>
      <c r="EG85" t="e">
        <f>AND(#REF!,"AAAAAHt4eog=")</f>
        <v>#REF!</v>
      </c>
      <c r="EH85" t="e">
        <f>AND(#REF!,"AAAAAHt4eok=")</f>
        <v>#REF!</v>
      </c>
      <c r="EI85" t="e">
        <f>AND(#REF!,"AAAAAHt4eoo=")</f>
        <v>#REF!</v>
      </c>
      <c r="EJ85" t="e">
        <f>AND(#REF!,"AAAAAHt4eos=")</f>
        <v>#REF!</v>
      </c>
      <c r="EK85" t="e">
        <f>AND(#REF!,"AAAAAHt4eow=")</f>
        <v>#REF!</v>
      </c>
      <c r="EL85" t="e">
        <f>AND(#REF!,"AAAAAHt4eo0=")</f>
        <v>#REF!</v>
      </c>
      <c r="EM85" t="e">
        <f>AND(#REF!,"AAAAAHt4eo4=")</f>
        <v>#REF!</v>
      </c>
      <c r="EN85" t="e">
        <f>AND(#REF!,"AAAAAHt4eo8=")</f>
        <v>#REF!</v>
      </c>
      <c r="EO85" t="e">
        <f>AND(#REF!,"AAAAAHt4epA=")</f>
        <v>#REF!</v>
      </c>
      <c r="EP85" t="e">
        <f>AND(#REF!,"AAAAAHt4epE=")</f>
        <v>#REF!</v>
      </c>
      <c r="EQ85" t="e">
        <f>AND(#REF!,"AAAAAHt4epI=")</f>
        <v>#REF!</v>
      </c>
      <c r="ER85" t="e">
        <f>IF(#REF!,"AAAAAHt4epM=",0)</f>
        <v>#REF!</v>
      </c>
      <c r="ES85" t="e">
        <f>AND(#REF!,"AAAAAHt4epQ=")</f>
        <v>#REF!</v>
      </c>
      <c r="ET85" t="e">
        <f>AND(#REF!,"AAAAAHt4epU=")</f>
        <v>#REF!</v>
      </c>
      <c r="EU85" t="e">
        <f>AND(#REF!,"AAAAAHt4epY=")</f>
        <v>#REF!</v>
      </c>
      <c r="EV85" t="e">
        <f>AND(#REF!,"AAAAAHt4epc=")</f>
        <v>#REF!</v>
      </c>
      <c r="EW85" t="e">
        <f>AND(#REF!,"AAAAAHt4epg=")</f>
        <v>#REF!</v>
      </c>
      <c r="EX85" t="e">
        <f>AND(#REF!,"AAAAAHt4epk=")</f>
        <v>#REF!</v>
      </c>
      <c r="EY85" t="e">
        <f>AND(#REF!,"AAAAAHt4epo=")</f>
        <v>#REF!</v>
      </c>
      <c r="EZ85" t="e">
        <f>AND(#REF!,"AAAAAHt4eps=")</f>
        <v>#REF!</v>
      </c>
      <c r="FA85" t="e">
        <f>AND(#REF!,"AAAAAHt4epw=")</f>
        <v>#REF!</v>
      </c>
      <c r="FB85" t="e">
        <f>AND(#REF!,"AAAAAHt4ep0=")</f>
        <v>#REF!</v>
      </c>
      <c r="FC85" t="e">
        <f>AND(#REF!,"AAAAAHt4ep4=")</f>
        <v>#REF!</v>
      </c>
      <c r="FD85" t="e">
        <f>AND(#REF!,"AAAAAHt4ep8=")</f>
        <v>#REF!</v>
      </c>
      <c r="FE85" t="e">
        <f>AND(#REF!,"AAAAAHt4eqA=")</f>
        <v>#REF!</v>
      </c>
      <c r="FF85" t="e">
        <f>AND(#REF!,"AAAAAHt4eqE=")</f>
        <v>#REF!</v>
      </c>
      <c r="FG85" t="e">
        <f>IF(#REF!,"AAAAAHt4eqI=",0)</f>
        <v>#REF!</v>
      </c>
      <c r="FH85" t="e">
        <f>AND(#REF!,"AAAAAHt4eqM=")</f>
        <v>#REF!</v>
      </c>
      <c r="FI85" t="e">
        <f>AND(#REF!,"AAAAAHt4eqQ=")</f>
        <v>#REF!</v>
      </c>
      <c r="FJ85" t="e">
        <f>AND(#REF!,"AAAAAHt4eqU=")</f>
        <v>#REF!</v>
      </c>
      <c r="FK85" t="e">
        <f>AND(#REF!,"AAAAAHt4eqY=")</f>
        <v>#REF!</v>
      </c>
      <c r="FL85" t="e">
        <f>AND(#REF!,"AAAAAHt4eqc=")</f>
        <v>#REF!</v>
      </c>
      <c r="FM85" t="e">
        <f>AND(#REF!,"AAAAAHt4eqg=")</f>
        <v>#REF!</v>
      </c>
      <c r="FN85" t="e">
        <f>AND(#REF!,"AAAAAHt4eqk=")</f>
        <v>#REF!</v>
      </c>
      <c r="FO85" t="e">
        <f>AND(#REF!,"AAAAAHt4eqo=")</f>
        <v>#REF!</v>
      </c>
      <c r="FP85" t="e">
        <f>AND(#REF!,"AAAAAHt4eqs=")</f>
        <v>#REF!</v>
      </c>
      <c r="FQ85" t="e">
        <f>AND(#REF!,"AAAAAHt4eqw=")</f>
        <v>#REF!</v>
      </c>
      <c r="FR85" t="e">
        <f>AND(#REF!,"AAAAAHt4eq0=")</f>
        <v>#REF!</v>
      </c>
      <c r="FS85" t="e">
        <f>AND(#REF!,"AAAAAHt4eq4=")</f>
        <v>#REF!</v>
      </c>
      <c r="FT85" t="e">
        <f>AND(#REF!,"AAAAAHt4eq8=")</f>
        <v>#REF!</v>
      </c>
      <c r="FU85" t="e">
        <f>AND(#REF!,"AAAAAHt4erA=")</f>
        <v>#REF!</v>
      </c>
      <c r="FV85" t="e">
        <f>IF(#REF!,"AAAAAHt4erE=",0)</f>
        <v>#REF!</v>
      </c>
      <c r="FW85" t="e">
        <f>AND(#REF!,"AAAAAHt4erI=")</f>
        <v>#REF!</v>
      </c>
      <c r="FX85" t="e">
        <f>AND(#REF!,"AAAAAHt4erM=")</f>
        <v>#REF!</v>
      </c>
      <c r="FY85" t="e">
        <f>AND(#REF!,"AAAAAHt4erQ=")</f>
        <v>#REF!</v>
      </c>
      <c r="FZ85" t="e">
        <f>AND(#REF!,"AAAAAHt4erU=")</f>
        <v>#REF!</v>
      </c>
      <c r="GA85" t="e">
        <f>AND(#REF!,"AAAAAHt4erY=")</f>
        <v>#REF!</v>
      </c>
      <c r="GB85" t="e">
        <f>AND(#REF!,"AAAAAHt4erc=")</f>
        <v>#REF!</v>
      </c>
      <c r="GC85" t="e">
        <f>AND(#REF!,"AAAAAHt4erg=")</f>
        <v>#REF!</v>
      </c>
      <c r="GD85" t="e">
        <f>AND(#REF!,"AAAAAHt4erk=")</f>
        <v>#REF!</v>
      </c>
      <c r="GE85" t="e">
        <f>AND(#REF!,"AAAAAHt4ero=")</f>
        <v>#REF!</v>
      </c>
      <c r="GF85" t="e">
        <f>AND(#REF!,"AAAAAHt4ers=")</f>
        <v>#REF!</v>
      </c>
      <c r="GG85" t="e">
        <f>AND(#REF!,"AAAAAHt4erw=")</f>
        <v>#REF!</v>
      </c>
      <c r="GH85" t="e">
        <f>AND(#REF!,"AAAAAHt4er0=")</f>
        <v>#REF!</v>
      </c>
      <c r="GI85" t="e">
        <f>AND(#REF!,"AAAAAHt4er4=")</f>
        <v>#REF!</v>
      </c>
      <c r="GJ85" t="e">
        <f>AND(#REF!,"AAAAAHt4er8=")</f>
        <v>#REF!</v>
      </c>
      <c r="GK85" t="e">
        <f>IF(#REF!,"AAAAAHt4esA=",0)</f>
        <v>#REF!</v>
      </c>
      <c r="GL85" t="e">
        <f>AND(#REF!,"AAAAAHt4esE=")</f>
        <v>#REF!</v>
      </c>
      <c r="GM85" t="e">
        <f>AND(#REF!,"AAAAAHt4esI=")</f>
        <v>#REF!</v>
      </c>
      <c r="GN85" t="e">
        <f>AND(#REF!,"AAAAAHt4esM=")</f>
        <v>#REF!</v>
      </c>
      <c r="GO85" t="e">
        <f>AND(#REF!,"AAAAAHt4esQ=")</f>
        <v>#REF!</v>
      </c>
      <c r="GP85" t="e">
        <f>AND(#REF!,"AAAAAHt4esU=")</f>
        <v>#REF!</v>
      </c>
      <c r="GQ85" t="e">
        <f>AND(#REF!,"AAAAAHt4esY=")</f>
        <v>#REF!</v>
      </c>
      <c r="GR85" t="e">
        <f>AND(#REF!,"AAAAAHt4esc=")</f>
        <v>#REF!</v>
      </c>
      <c r="GS85" t="e">
        <f>AND(#REF!,"AAAAAHt4esg=")</f>
        <v>#REF!</v>
      </c>
      <c r="GT85" t="e">
        <f>AND(#REF!,"AAAAAHt4esk=")</f>
        <v>#REF!</v>
      </c>
      <c r="GU85" t="e">
        <f>AND(#REF!,"AAAAAHt4eso=")</f>
        <v>#REF!</v>
      </c>
      <c r="GV85" t="e">
        <f>AND(#REF!,"AAAAAHt4ess=")</f>
        <v>#REF!</v>
      </c>
      <c r="GW85" t="e">
        <f>AND(#REF!,"AAAAAHt4esw=")</f>
        <v>#REF!</v>
      </c>
      <c r="GX85" t="e">
        <f>AND(#REF!,"AAAAAHt4es0=")</f>
        <v>#REF!</v>
      </c>
      <c r="GY85" t="e">
        <f>AND(#REF!,"AAAAAHt4es4=")</f>
        <v>#REF!</v>
      </c>
      <c r="GZ85" t="e">
        <f>IF(#REF!,"AAAAAHt4es8=",0)</f>
        <v>#REF!</v>
      </c>
      <c r="HA85" t="e">
        <f>AND(#REF!,"AAAAAHt4etA=")</f>
        <v>#REF!</v>
      </c>
      <c r="HB85" t="e">
        <f>AND(#REF!,"AAAAAHt4etE=")</f>
        <v>#REF!</v>
      </c>
      <c r="HC85" t="e">
        <f>AND(#REF!,"AAAAAHt4etI=")</f>
        <v>#REF!</v>
      </c>
      <c r="HD85" t="e">
        <f>AND(#REF!,"AAAAAHt4etM=")</f>
        <v>#REF!</v>
      </c>
      <c r="HE85" t="e">
        <f>AND(#REF!,"AAAAAHt4etQ=")</f>
        <v>#REF!</v>
      </c>
      <c r="HF85" t="e">
        <f>AND(#REF!,"AAAAAHt4etU=")</f>
        <v>#REF!</v>
      </c>
      <c r="HG85" t="e">
        <f>AND(#REF!,"AAAAAHt4etY=")</f>
        <v>#REF!</v>
      </c>
      <c r="HH85" t="e">
        <f>AND(#REF!,"AAAAAHt4etc=")</f>
        <v>#REF!</v>
      </c>
      <c r="HI85" t="e">
        <f>AND(#REF!,"AAAAAHt4etg=")</f>
        <v>#REF!</v>
      </c>
      <c r="HJ85" t="e">
        <f>AND(#REF!,"AAAAAHt4etk=")</f>
        <v>#REF!</v>
      </c>
      <c r="HK85" t="e">
        <f>AND(#REF!,"AAAAAHt4eto=")</f>
        <v>#REF!</v>
      </c>
      <c r="HL85" t="e">
        <f>AND(#REF!,"AAAAAHt4ets=")</f>
        <v>#REF!</v>
      </c>
      <c r="HM85" t="e">
        <f>AND(#REF!,"AAAAAHt4etw=")</f>
        <v>#REF!</v>
      </c>
      <c r="HN85" t="e">
        <f>AND(#REF!,"AAAAAHt4et0=")</f>
        <v>#REF!</v>
      </c>
      <c r="HO85" t="e">
        <f>IF(#REF!,"AAAAAHt4et4=",0)</f>
        <v>#REF!</v>
      </c>
      <c r="HP85" t="e">
        <f>IF(#REF!,"AAAAAHt4et8=",0)</f>
        <v>#REF!</v>
      </c>
      <c r="HQ85" t="e">
        <f>IF(#REF!,"AAAAAHt4euA=",0)</f>
        <v>#REF!</v>
      </c>
      <c r="HR85" t="e">
        <f>IF(#REF!,"AAAAAHt4euE=",0)</f>
        <v>#REF!</v>
      </c>
      <c r="HS85" t="e">
        <f>IF(#REF!,"AAAAAHt4euI=",0)</f>
        <v>#REF!</v>
      </c>
      <c r="HT85" t="e">
        <f>IF(#REF!,"AAAAAHt4euM=",0)</f>
        <v>#REF!</v>
      </c>
      <c r="HU85" t="e">
        <f>IF(#REF!,"AAAAAHt4euQ=",0)</f>
        <v>#REF!</v>
      </c>
      <c r="HV85" t="e">
        <f>IF(#REF!,"AAAAAHt4euU=",0)</f>
        <v>#REF!</v>
      </c>
      <c r="HW85" t="e">
        <f>IF(#REF!,"AAAAAHt4euY=",0)</f>
        <v>#REF!</v>
      </c>
      <c r="HX85" t="e">
        <f>IF(#REF!,"AAAAAHt4euc=",0)</f>
        <v>#REF!</v>
      </c>
      <c r="HY85" t="e">
        <f>IF(#REF!,"AAAAAHt4eug=",0)</f>
        <v>#REF!</v>
      </c>
      <c r="HZ85" t="e">
        <f>IF(#REF!,"AAAAAHt4euk=",0)</f>
        <v>#REF!</v>
      </c>
      <c r="IA85" t="e">
        <f>IF(#REF!,"AAAAAHt4euo=",0)</f>
        <v>#REF!</v>
      </c>
      <c r="IB85" t="e">
        <f>IF(#REF!,"AAAAAHt4eus=",0)</f>
        <v>#REF!</v>
      </c>
      <c r="IC85" t="e">
        <f>IF(#REF!,"AAAAAHt4euw=",0)</f>
        <v>#REF!</v>
      </c>
      <c r="ID85" t="e">
        <f>AND(#REF!,"AAAAAHt4eu0=")</f>
        <v>#REF!</v>
      </c>
      <c r="IE85" t="e">
        <f>AND(#REF!,"AAAAAHt4eu4=")</f>
        <v>#REF!</v>
      </c>
      <c r="IF85" t="e">
        <f>AND(#REF!,"AAAAAHt4eu8=")</f>
        <v>#REF!</v>
      </c>
      <c r="IG85" t="e">
        <f>AND(#REF!,"AAAAAHt4evA=")</f>
        <v>#REF!</v>
      </c>
      <c r="IH85" t="e">
        <f>AND(#REF!,"AAAAAHt4evE=")</f>
        <v>#REF!</v>
      </c>
      <c r="II85" t="e">
        <f>AND(#REF!,"AAAAAHt4evI=")</f>
        <v>#REF!</v>
      </c>
      <c r="IJ85" t="e">
        <f>IF(#REF!,"AAAAAHt4evM=",0)</f>
        <v>#REF!</v>
      </c>
      <c r="IK85" t="e">
        <f>AND(#REF!,"AAAAAHt4evQ=")</f>
        <v>#REF!</v>
      </c>
      <c r="IL85" t="e">
        <f>AND(#REF!,"AAAAAHt4evU=")</f>
        <v>#REF!</v>
      </c>
      <c r="IM85" t="e">
        <f>AND(#REF!,"AAAAAHt4evY=")</f>
        <v>#REF!</v>
      </c>
      <c r="IN85" t="e">
        <f>AND(#REF!,"AAAAAHt4evc=")</f>
        <v>#REF!</v>
      </c>
      <c r="IO85" t="e">
        <f>AND(#REF!,"AAAAAHt4evg=")</f>
        <v>#REF!</v>
      </c>
      <c r="IP85" t="e">
        <f>AND(#REF!,"AAAAAHt4evk=")</f>
        <v>#REF!</v>
      </c>
      <c r="IQ85" t="e">
        <f>IF(#REF!,"AAAAAHt4evo=",0)</f>
        <v>#REF!</v>
      </c>
      <c r="IR85" t="e">
        <f>AND(#REF!,"AAAAAHt4evs=")</f>
        <v>#REF!</v>
      </c>
      <c r="IS85" t="e">
        <f>AND(#REF!,"AAAAAHt4evw=")</f>
        <v>#REF!</v>
      </c>
      <c r="IT85" t="e">
        <f>AND(#REF!,"AAAAAHt4ev0=")</f>
        <v>#REF!</v>
      </c>
      <c r="IU85" t="e">
        <f>AND(#REF!,"AAAAAHt4ev4=")</f>
        <v>#REF!</v>
      </c>
      <c r="IV85" t="e">
        <f>AND(#REF!,"AAAAAHt4ev8=")</f>
        <v>#REF!</v>
      </c>
    </row>
    <row r="86" spans="1:256" x14ac:dyDescent="0.15">
      <c r="A86" t="e">
        <f>AND(#REF!,"AAAAAH3//wA=")</f>
        <v>#REF!</v>
      </c>
      <c r="B86" t="e">
        <f>IF(#REF!,"AAAAAH3//wE=",0)</f>
        <v>#REF!</v>
      </c>
      <c r="C86" t="e">
        <f>AND(#REF!,"AAAAAH3//wI=")</f>
        <v>#REF!</v>
      </c>
      <c r="D86" t="e">
        <f>AND(#REF!,"AAAAAH3//wM=")</f>
        <v>#REF!</v>
      </c>
      <c r="E86" t="e">
        <f>AND(#REF!,"AAAAAH3//wQ=")</f>
        <v>#REF!</v>
      </c>
      <c r="F86" t="e">
        <f>AND(#REF!,"AAAAAH3//wU=")</f>
        <v>#REF!</v>
      </c>
      <c r="G86" t="e">
        <f>AND(#REF!,"AAAAAH3//wY=")</f>
        <v>#REF!</v>
      </c>
      <c r="H86" t="e">
        <f>AND(#REF!,"AAAAAH3//wc=")</f>
        <v>#REF!</v>
      </c>
      <c r="I86" t="e">
        <f>IF(#REF!,"AAAAAH3//wg=",0)</f>
        <v>#REF!</v>
      </c>
      <c r="J86" t="e">
        <f>AND(#REF!,"AAAAAH3//wk=")</f>
        <v>#REF!</v>
      </c>
      <c r="K86" t="e">
        <f>AND(#REF!,"AAAAAH3//wo=")</f>
        <v>#REF!</v>
      </c>
      <c r="L86" t="e">
        <f>AND(#REF!,"AAAAAH3//ws=")</f>
        <v>#REF!</v>
      </c>
      <c r="M86" t="e">
        <f>AND(#REF!,"AAAAAH3//ww=")</f>
        <v>#REF!</v>
      </c>
      <c r="N86" t="e">
        <f>AND(#REF!,"AAAAAH3//w0=")</f>
        <v>#REF!</v>
      </c>
      <c r="O86" t="e">
        <f>AND(#REF!,"AAAAAH3//w4=")</f>
        <v>#REF!</v>
      </c>
      <c r="P86" t="e">
        <f>IF(#REF!,"AAAAAH3//w8=",0)</f>
        <v>#REF!</v>
      </c>
      <c r="Q86" t="e">
        <f>AND(#REF!,"AAAAAH3//xA=")</f>
        <v>#REF!</v>
      </c>
      <c r="R86" t="e">
        <f>AND(#REF!,"AAAAAH3//xE=")</f>
        <v>#REF!</v>
      </c>
      <c r="S86" t="e">
        <f>AND(#REF!,"AAAAAH3//xI=")</f>
        <v>#REF!</v>
      </c>
      <c r="T86" t="e">
        <f>AND(#REF!,"AAAAAH3//xM=")</f>
        <v>#REF!</v>
      </c>
      <c r="U86" t="e">
        <f>AND(#REF!,"AAAAAH3//xQ=")</f>
        <v>#REF!</v>
      </c>
      <c r="V86" t="e">
        <f>AND(#REF!,"AAAAAH3//xU=")</f>
        <v>#REF!</v>
      </c>
      <c r="W86" t="e">
        <f>IF(#REF!,"AAAAAH3//xY=",0)</f>
        <v>#REF!</v>
      </c>
      <c r="X86" t="e">
        <f>AND(#REF!,"AAAAAH3//xc=")</f>
        <v>#REF!</v>
      </c>
      <c r="Y86" t="e">
        <f>AND(#REF!,"AAAAAH3//xg=")</f>
        <v>#REF!</v>
      </c>
      <c r="Z86" t="e">
        <f>AND(#REF!,"AAAAAH3//xk=")</f>
        <v>#REF!</v>
      </c>
      <c r="AA86" t="e">
        <f>AND(#REF!,"AAAAAH3//xo=")</f>
        <v>#REF!</v>
      </c>
      <c r="AB86" t="e">
        <f>AND(#REF!,"AAAAAH3//xs=")</f>
        <v>#REF!</v>
      </c>
      <c r="AC86" t="e">
        <f>AND(#REF!,"AAAAAH3//xw=")</f>
        <v>#REF!</v>
      </c>
      <c r="AD86" t="e">
        <f>IF(#REF!,"AAAAAH3//x0=",0)</f>
        <v>#REF!</v>
      </c>
      <c r="AE86" t="e">
        <f>AND(#REF!,"AAAAAH3//x4=")</f>
        <v>#REF!</v>
      </c>
      <c r="AF86" t="e">
        <f>AND(#REF!,"AAAAAH3//x8=")</f>
        <v>#REF!</v>
      </c>
      <c r="AG86" t="e">
        <f>AND(#REF!,"AAAAAH3//yA=")</f>
        <v>#REF!</v>
      </c>
      <c r="AH86" t="e">
        <f>AND(#REF!,"AAAAAH3//yE=")</f>
        <v>#REF!</v>
      </c>
      <c r="AI86" t="e">
        <f>AND(#REF!,"AAAAAH3//yI=")</f>
        <v>#REF!</v>
      </c>
      <c r="AJ86" t="e">
        <f>AND(#REF!,"AAAAAH3//yM=")</f>
        <v>#REF!</v>
      </c>
      <c r="AK86" t="e">
        <f>IF(#REF!,"AAAAAH3//yQ=",0)</f>
        <v>#REF!</v>
      </c>
      <c r="AL86" t="e">
        <f>AND(#REF!,"AAAAAH3//yU=")</f>
        <v>#REF!</v>
      </c>
      <c r="AM86" t="e">
        <f>AND(#REF!,"AAAAAH3//yY=")</f>
        <v>#REF!</v>
      </c>
      <c r="AN86" t="e">
        <f>AND(#REF!,"AAAAAH3//yc=")</f>
        <v>#REF!</v>
      </c>
      <c r="AO86" t="e">
        <f>AND(#REF!,"AAAAAH3//yg=")</f>
        <v>#REF!</v>
      </c>
      <c r="AP86" t="e">
        <f>AND(#REF!,"AAAAAH3//yk=")</f>
        <v>#REF!</v>
      </c>
      <c r="AQ86" t="e">
        <f>AND(#REF!,"AAAAAH3//yo=")</f>
        <v>#REF!</v>
      </c>
      <c r="AR86" t="e">
        <f>IF(#REF!,"AAAAAH3//ys=",0)</f>
        <v>#REF!</v>
      </c>
      <c r="AS86" t="e">
        <f>AND(#REF!,"AAAAAH3//yw=")</f>
        <v>#REF!</v>
      </c>
      <c r="AT86" t="e">
        <f>AND(#REF!,"AAAAAH3//y0=")</f>
        <v>#REF!</v>
      </c>
      <c r="AU86" t="e">
        <f>AND(#REF!,"AAAAAH3//y4=")</f>
        <v>#REF!</v>
      </c>
      <c r="AV86" t="e">
        <f>AND(#REF!,"AAAAAH3//y8=")</f>
        <v>#REF!</v>
      </c>
      <c r="AW86" t="e">
        <f>AND(#REF!,"AAAAAH3//zA=")</f>
        <v>#REF!</v>
      </c>
      <c r="AX86" t="e">
        <f>AND(#REF!,"AAAAAH3//zE=")</f>
        <v>#REF!</v>
      </c>
      <c r="AY86" t="e">
        <f>IF(#REF!,"AAAAAH3//zI=",0)</f>
        <v>#REF!</v>
      </c>
      <c r="AZ86" t="e">
        <f>AND(#REF!,"AAAAAH3//zM=")</f>
        <v>#REF!</v>
      </c>
      <c r="BA86" t="e">
        <f>AND(#REF!,"AAAAAH3//zQ=")</f>
        <v>#REF!</v>
      </c>
      <c r="BB86" t="e">
        <f>AND(#REF!,"AAAAAH3//zU=")</f>
        <v>#REF!</v>
      </c>
      <c r="BC86" t="e">
        <f>AND(#REF!,"AAAAAH3//zY=")</f>
        <v>#REF!</v>
      </c>
      <c r="BD86" t="e">
        <f>AND(#REF!,"AAAAAH3//zc=")</f>
        <v>#REF!</v>
      </c>
      <c r="BE86" t="e">
        <f>AND(#REF!,"AAAAAH3//zg=")</f>
        <v>#REF!</v>
      </c>
      <c r="BF86" t="e">
        <f>IF(#REF!,"AAAAAH3//zk=",0)</f>
        <v>#REF!</v>
      </c>
      <c r="BG86" t="e">
        <f>AND(#REF!,"AAAAAH3//zo=")</f>
        <v>#REF!</v>
      </c>
      <c r="BH86" t="e">
        <f>AND(#REF!,"AAAAAH3//zs=")</f>
        <v>#REF!</v>
      </c>
      <c r="BI86" t="e">
        <f>AND(#REF!,"AAAAAH3//zw=")</f>
        <v>#REF!</v>
      </c>
      <c r="BJ86" t="e">
        <f>AND(#REF!,"AAAAAH3//z0=")</f>
        <v>#REF!</v>
      </c>
      <c r="BK86" t="e">
        <f>AND(#REF!,"AAAAAH3//z4=")</f>
        <v>#REF!</v>
      </c>
      <c r="BL86" t="e">
        <f>AND(#REF!,"AAAAAH3//z8=")</f>
        <v>#REF!</v>
      </c>
      <c r="BM86" t="e">
        <f>IF(#REF!,"AAAAAH3//0A=",0)</f>
        <v>#REF!</v>
      </c>
      <c r="BN86" t="e">
        <f>AND(#REF!,"AAAAAH3//0E=")</f>
        <v>#REF!</v>
      </c>
      <c r="BO86" t="e">
        <f>AND(#REF!,"AAAAAH3//0I=")</f>
        <v>#REF!</v>
      </c>
      <c r="BP86" t="e">
        <f>AND(#REF!,"AAAAAH3//0M=")</f>
        <v>#REF!</v>
      </c>
      <c r="BQ86" t="e">
        <f>AND(#REF!,"AAAAAH3//0Q=")</f>
        <v>#REF!</v>
      </c>
      <c r="BR86" t="e">
        <f>AND(#REF!,"AAAAAH3//0U=")</f>
        <v>#REF!</v>
      </c>
      <c r="BS86" t="e">
        <f>AND(#REF!,"AAAAAH3//0Y=")</f>
        <v>#REF!</v>
      </c>
      <c r="BT86" t="e">
        <f>IF(#REF!,"AAAAAH3//0c=",0)</f>
        <v>#REF!</v>
      </c>
      <c r="BU86" t="e">
        <f>AND(#REF!,"AAAAAH3//0g=")</f>
        <v>#REF!</v>
      </c>
      <c r="BV86" t="e">
        <f>AND(#REF!,"AAAAAH3//0k=")</f>
        <v>#REF!</v>
      </c>
      <c r="BW86" t="e">
        <f>AND(#REF!,"AAAAAH3//0o=")</f>
        <v>#REF!</v>
      </c>
      <c r="BX86" t="e">
        <f>AND(#REF!,"AAAAAH3//0s=")</f>
        <v>#REF!</v>
      </c>
      <c r="BY86" t="e">
        <f>AND(#REF!,"AAAAAH3//0w=")</f>
        <v>#REF!</v>
      </c>
      <c r="BZ86" t="e">
        <f>AND(#REF!,"AAAAAH3//00=")</f>
        <v>#REF!</v>
      </c>
      <c r="CA86" t="e">
        <f>IF(#REF!,"AAAAAH3//04=",0)</f>
        <v>#REF!</v>
      </c>
      <c r="CB86" t="e">
        <f>AND(#REF!,"AAAAAH3//08=")</f>
        <v>#REF!</v>
      </c>
      <c r="CC86" t="e">
        <f>AND(#REF!,"AAAAAH3//1A=")</f>
        <v>#REF!</v>
      </c>
      <c r="CD86" t="e">
        <f>AND(#REF!,"AAAAAH3//1E=")</f>
        <v>#REF!</v>
      </c>
      <c r="CE86" t="e">
        <f>AND(#REF!,"AAAAAH3//1I=")</f>
        <v>#REF!</v>
      </c>
      <c r="CF86" t="e">
        <f>AND(#REF!,"AAAAAH3//1M=")</f>
        <v>#REF!</v>
      </c>
      <c r="CG86" t="e">
        <f>AND(#REF!,"AAAAAH3//1Q=")</f>
        <v>#REF!</v>
      </c>
      <c r="CH86" t="e">
        <f>IF(#REF!,"AAAAAH3//1U=",0)</f>
        <v>#REF!</v>
      </c>
      <c r="CI86" t="e">
        <f>AND(#REF!,"AAAAAH3//1Y=")</f>
        <v>#REF!</v>
      </c>
      <c r="CJ86" t="e">
        <f>AND(#REF!,"AAAAAH3//1c=")</f>
        <v>#REF!</v>
      </c>
      <c r="CK86" t="e">
        <f>AND(#REF!,"AAAAAH3//1g=")</f>
        <v>#REF!</v>
      </c>
      <c r="CL86" t="e">
        <f>AND(#REF!,"AAAAAH3//1k=")</f>
        <v>#REF!</v>
      </c>
      <c r="CM86" t="e">
        <f>AND(#REF!,"AAAAAH3//1o=")</f>
        <v>#REF!</v>
      </c>
      <c r="CN86" t="e">
        <f>AND(#REF!,"AAAAAH3//1s=")</f>
        <v>#REF!</v>
      </c>
      <c r="CO86" t="e">
        <f>IF(#REF!,"AAAAAH3//1w=",0)</f>
        <v>#REF!</v>
      </c>
      <c r="CP86" t="e">
        <f>AND(#REF!,"AAAAAH3//10=")</f>
        <v>#REF!</v>
      </c>
      <c r="CQ86" t="e">
        <f>AND(#REF!,"AAAAAH3//14=")</f>
        <v>#REF!</v>
      </c>
      <c r="CR86" t="e">
        <f>AND(#REF!,"AAAAAH3//18=")</f>
        <v>#REF!</v>
      </c>
      <c r="CS86" t="e">
        <f>AND(#REF!,"AAAAAH3//2A=")</f>
        <v>#REF!</v>
      </c>
      <c r="CT86" t="e">
        <f>AND(#REF!,"AAAAAH3//2E=")</f>
        <v>#REF!</v>
      </c>
      <c r="CU86" t="e">
        <f>AND(#REF!,"AAAAAH3//2I=")</f>
        <v>#REF!</v>
      </c>
      <c r="CV86" t="e">
        <f>IF(#REF!,"AAAAAH3//2M=",0)</f>
        <v>#REF!</v>
      </c>
      <c r="CW86" t="e">
        <f>AND(#REF!,"AAAAAH3//2Q=")</f>
        <v>#REF!</v>
      </c>
      <c r="CX86" t="e">
        <f>AND(#REF!,"AAAAAH3//2U=")</f>
        <v>#REF!</v>
      </c>
      <c r="CY86" t="e">
        <f>AND(#REF!,"AAAAAH3//2Y=")</f>
        <v>#REF!</v>
      </c>
      <c r="CZ86" t="e">
        <f>AND(#REF!,"AAAAAH3//2c=")</f>
        <v>#REF!</v>
      </c>
      <c r="DA86" t="e">
        <f>AND(#REF!,"AAAAAH3//2g=")</f>
        <v>#REF!</v>
      </c>
      <c r="DB86" t="e">
        <f>AND(#REF!,"AAAAAH3//2k=")</f>
        <v>#REF!</v>
      </c>
      <c r="DC86" t="e">
        <f>IF(#REF!,"AAAAAH3//2o=",0)</f>
        <v>#REF!</v>
      </c>
      <c r="DD86" t="e">
        <f>AND(#REF!,"AAAAAH3//2s=")</f>
        <v>#REF!</v>
      </c>
      <c r="DE86" t="e">
        <f>AND(#REF!,"AAAAAH3//2w=")</f>
        <v>#REF!</v>
      </c>
      <c r="DF86" t="e">
        <f>AND(#REF!,"AAAAAH3//20=")</f>
        <v>#REF!</v>
      </c>
      <c r="DG86" t="e">
        <f>AND(#REF!,"AAAAAH3//24=")</f>
        <v>#REF!</v>
      </c>
      <c r="DH86" t="e">
        <f>AND(#REF!,"AAAAAH3//28=")</f>
        <v>#REF!</v>
      </c>
      <c r="DI86" t="e">
        <f>AND(#REF!,"AAAAAH3//3A=")</f>
        <v>#REF!</v>
      </c>
      <c r="DJ86" t="e">
        <f>IF(#REF!,"AAAAAH3//3E=",0)</f>
        <v>#REF!</v>
      </c>
      <c r="DK86" t="e">
        <f>AND(#REF!,"AAAAAH3//3I=")</f>
        <v>#REF!</v>
      </c>
      <c r="DL86" t="e">
        <f>AND(#REF!,"AAAAAH3//3M=")</f>
        <v>#REF!</v>
      </c>
      <c r="DM86" t="e">
        <f>AND(#REF!,"AAAAAH3//3Q=")</f>
        <v>#REF!</v>
      </c>
      <c r="DN86" t="e">
        <f>AND(#REF!,"AAAAAH3//3U=")</f>
        <v>#REF!</v>
      </c>
      <c r="DO86" t="e">
        <f>AND(#REF!,"AAAAAH3//3Y=")</f>
        <v>#REF!</v>
      </c>
      <c r="DP86" t="e">
        <f>AND(#REF!,"AAAAAH3//3c=")</f>
        <v>#REF!</v>
      </c>
      <c r="DQ86" t="e">
        <f>IF(#REF!,"AAAAAH3//3g=",0)</f>
        <v>#REF!</v>
      </c>
      <c r="DR86" t="e">
        <f>AND(#REF!,"AAAAAH3//3k=")</f>
        <v>#REF!</v>
      </c>
      <c r="DS86" t="e">
        <f>AND(#REF!,"AAAAAH3//3o=")</f>
        <v>#REF!</v>
      </c>
      <c r="DT86" t="e">
        <f>AND(#REF!,"AAAAAH3//3s=")</f>
        <v>#REF!</v>
      </c>
      <c r="DU86" t="e">
        <f>AND(#REF!,"AAAAAH3//3w=")</f>
        <v>#REF!</v>
      </c>
      <c r="DV86" t="e">
        <f>AND(#REF!,"AAAAAH3//30=")</f>
        <v>#REF!</v>
      </c>
      <c r="DW86" t="e">
        <f>AND(#REF!,"AAAAAH3//34=")</f>
        <v>#REF!</v>
      </c>
      <c r="DX86" t="e">
        <f>IF(#REF!,"AAAAAH3//38=",0)</f>
        <v>#REF!</v>
      </c>
      <c r="DY86" t="e">
        <f>AND(#REF!,"AAAAAH3//4A=")</f>
        <v>#REF!</v>
      </c>
      <c r="DZ86" t="e">
        <f>AND(#REF!,"AAAAAH3//4E=")</f>
        <v>#REF!</v>
      </c>
      <c r="EA86" t="e">
        <f>AND(#REF!,"AAAAAH3//4I=")</f>
        <v>#REF!</v>
      </c>
      <c r="EB86" t="e">
        <f>AND(#REF!,"AAAAAH3//4M=")</f>
        <v>#REF!</v>
      </c>
      <c r="EC86" t="e">
        <f>AND(#REF!,"AAAAAH3//4Q=")</f>
        <v>#REF!</v>
      </c>
      <c r="ED86" t="e">
        <f>AND(#REF!,"AAAAAH3//4U=")</f>
        <v>#REF!</v>
      </c>
      <c r="EE86" t="e">
        <f>IF(#REF!,"AAAAAH3//4Y=",0)</f>
        <v>#REF!</v>
      </c>
      <c r="EF86" t="e">
        <f>AND(#REF!,"AAAAAH3//4c=")</f>
        <v>#REF!</v>
      </c>
      <c r="EG86" t="e">
        <f>AND(#REF!,"AAAAAH3//4g=")</f>
        <v>#REF!</v>
      </c>
      <c r="EH86" t="e">
        <f>AND(#REF!,"AAAAAH3//4k=")</f>
        <v>#REF!</v>
      </c>
      <c r="EI86" t="e">
        <f>AND(#REF!,"AAAAAH3//4o=")</f>
        <v>#REF!</v>
      </c>
      <c r="EJ86" t="e">
        <f>AND(#REF!,"AAAAAH3//4s=")</f>
        <v>#REF!</v>
      </c>
      <c r="EK86" t="e">
        <f>AND(#REF!,"AAAAAH3//4w=")</f>
        <v>#REF!</v>
      </c>
      <c r="EL86" t="e">
        <f>IF(#REF!,"AAAAAH3//40=",0)</f>
        <v>#REF!</v>
      </c>
      <c r="EM86" t="e">
        <f>AND(#REF!,"AAAAAH3//44=")</f>
        <v>#REF!</v>
      </c>
      <c r="EN86" t="e">
        <f>AND(#REF!,"AAAAAH3//48=")</f>
        <v>#REF!</v>
      </c>
      <c r="EO86" t="e">
        <f>AND(#REF!,"AAAAAH3//5A=")</f>
        <v>#REF!</v>
      </c>
      <c r="EP86" t="e">
        <f>AND(#REF!,"AAAAAH3//5E=")</f>
        <v>#REF!</v>
      </c>
      <c r="EQ86" t="e">
        <f>AND(#REF!,"AAAAAH3//5I=")</f>
        <v>#REF!</v>
      </c>
      <c r="ER86" t="e">
        <f>AND(#REF!,"AAAAAH3//5M=")</f>
        <v>#REF!</v>
      </c>
      <c r="ES86" t="e">
        <f>IF(#REF!,"AAAAAH3//5Q=",0)</f>
        <v>#REF!</v>
      </c>
      <c r="ET86" t="e">
        <f>AND(#REF!,"AAAAAH3//5U=")</f>
        <v>#REF!</v>
      </c>
      <c r="EU86" t="e">
        <f>AND(#REF!,"AAAAAH3//5Y=")</f>
        <v>#REF!</v>
      </c>
      <c r="EV86" t="e">
        <f>AND(#REF!,"AAAAAH3//5c=")</f>
        <v>#REF!</v>
      </c>
      <c r="EW86" t="e">
        <f>AND(#REF!,"AAAAAH3//5g=")</f>
        <v>#REF!</v>
      </c>
      <c r="EX86" t="e">
        <f>AND(#REF!,"AAAAAH3//5k=")</f>
        <v>#REF!</v>
      </c>
      <c r="EY86" t="e">
        <f>AND(#REF!,"AAAAAH3//5o=")</f>
        <v>#REF!</v>
      </c>
      <c r="EZ86" t="e">
        <f>IF(#REF!,"AAAAAH3//5s=",0)</f>
        <v>#REF!</v>
      </c>
      <c r="FA86" t="e">
        <f>AND(#REF!,"AAAAAH3//5w=")</f>
        <v>#REF!</v>
      </c>
      <c r="FB86" t="e">
        <f>AND(#REF!,"AAAAAH3//50=")</f>
        <v>#REF!</v>
      </c>
      <c r="FC86" t="e">
        <f>AND(#REF!,"AAAAAH3//54=")</f>
        <v>#REF!</v>
      </c>
      <c r="FD86" t="e">
        <f>AND(#REF!,"AAAAAH3//58=")</f>
        <v>#REF!</v>
      </c>
      <c r="FE86" t="e">
        <f>AND(#REF!,"AAAAAH3//6A=")</f>
        <v>#REF!</v>
      </c>
      <c r="FF86" t="e">
        <f>AND(#REF!,"AAAAAH3//6E=")</f>
        <v>#REF!</v>
      </c>
      <c r="FG86" t="e">
        <f>IF(#REF!,"AAAAAH3//6I=",0)</f>
        <v>#REF!</v>
      </c>
      <c r="FH86" t="e">
        <f>AND(#REF!,"AAAAAH3//6M=")</f>
        <v>#REF!</v>
      </c>
      <c r="FI86" t="e">
        <f>AND(#REF!,"AAAAAH3//6Q=")</f>
        <v>#REF!</v>
      </c>
      <c r="FJ86" t="e">
        <f>AND(#REF!,"AAAAAH3//6U=")</f>
        <v>#REF!</v>
      </c>
      <c r="FK86" t="e">
        <f>AND(#REF!,"AAAAAH3//6Y=")</f>
        <v>#REF!</v>
      </c>
      <c r="FL86" t="e">
        <f>AND(#REF!,"AAAAAH3//6c=")</f>
        <v>#REF!</v>
      </c>
      <c r="FM86" t="e">
        <f>AND(#REF!,"AAAAAH3//6g=")</f>
        <v>#REF!</v>
      </c>
      <c r="FN86" t="e">
        <f>IF(#REF!,"AAAAAH3//6k=",0)</f>
        <v>#REF!</v>
      </c>
      <c r="FO86" t="e">
        <f>AND(#REF!,"AAAAAH3//6o=")</f>
        <v>#REF!</v>
      </c>
      <c r="FP86" t="e">
        <f>AND(#REF!,"AAAAAH3//6s=")</f>
        <v>#REF!</v>
      </c>
      <c r="FQ86" t="e">
        <f>AND(#REF!,"AAAAAH3//6w=")</f>
        <v>#REF!</v>
      </c>
      <c r="FR86" t="e">
        <f>AND(#REF!,"AAAAAH3//60=")</f>
        <v>#REF!</v>
      </c>
      <c r="FS86" t="e">
        <f>AND(#REF!,"AAAAAH3//64=")</f>
        <v>#REF!</v>
      </c>
      <c r="FT86" t="e">
        <f>AND(#REF!,"AAAAAH3//68=")</f>
        <v>#REF!</v>
      </c>
      <c r="FU86" t="e">
        <f>IF(#REF!,"AAAAAH3//7A=",0)</f>
        <v>#REF!</v>
      </c>
      <c r="FV86" t="e">
        <f>AND(#REF!,"AAAAAH3//7E=")</f>
        <v>#REF!</v>
      </c>
      <c r="FW86" t="e">
        <f>AND(#REF!,"AAAAAH3//7I=")</f>
        <v>#REF!</v>
      </c>
      <c r="FX86" t="e">
        <f>AND(#REF!,"AAAAAH3//7M=")</f>
        <v>#REF!</v>
      </c>
      <c r="FY86" t="e">
        <f>AND(#REF!,"AAAAAH3//7Q=")</f>
        <v>#REF!</v>
      </c>
      <c r="FZ86" t="e">
        <f>AND(#REF!,"AAAAAH3//7U=")</f>
        <v>#REF!</v>
      </c>
      <c r="GA86" t="e">
        <f>AND(#REF!,"AAAAAH3//7Y=")</f>
        <v>#REF!</v>
      </c>
      <c r="GB86" t="e">
        <f>IF(#REF!,"AAAAAH3//7c=",0)</f>
        <v>#REF!</v>
      </c>
      <c r="GC86" t="e">
        <f>AND(#REF!,"AAAAAH3//7g=")</f>
        <v>#REF!</v>
      </c>
      <c r="GD86" t="e">
        <f>AND(#REF!,"AAAAAH3//7k=")</f>
        <v>#REF!</v>
      </c>
      <c r="GE86" t="e">
        <f>AND(#REF!,"AAAAAH3//7o=")</f>
        <v>#REF!</v>
      </c>
      <c r="GF86" t="e">
        <f>AND(#REF!,"AAAAAH3//7s=")</f>
        <v>#REF!</v>
      </c>
      <c r="GG86" t="e">
        <f>AND(#REF!,"AAAAAH3//7w=")</f>
        <v>#REF!</v>
      </c>
      <c r="GH86" t="e">
        <f>AND(#REF!,"AAAAAH3//70=")</f>
        <v>#REF!</v>
      </c>
      <c r="GI86" t="e">
        <f>IF(#REF!,"AAAAAH3//74=",0)</f>
        <v>#REF!</v>
      </c>
      <c r="GJ86" t="e">
        <f>AND(#REF!,"AAAAAH3//78=")</f>
        <v>#REF!</v>
      </c>
      <c r="GK86" t="e">
        <f>AND(#REF!,"AAAAAH3//8A=")</f>
        <v>#REF!</v>
      </c>
      <c r="GL86" t="e">
        <f>AND(#REF!,"AAAAAH3//8E=")</f>
        <v>#REF!</v>
      </c>
      <c r="GM86" t="e">
        <f>AND(#REF!,"AAAAAH3//8I=")</f>
        <v>#REF!</v>
      </c>
      <c r="GN86" t="e">
        <f>AND(#REF!,"AAAAAH3//8M=")</f>
        <v>#REF!</v>
      </c>
      <c r="GO86" t="e">
        <f>AND(#REF!,"AAAAAH3//8Q=")</f>
        <v>#REF!</v>
      </c>
      <c r="GP86" t="e">
        <f>IF(#REF!,"AAAAAH3//8U=",0)</f>
        <v>#REF!</v>
      </c>
      <c r="GQ86" t="e">
        <f>AND(#REF!,"AAAAAH3//8Y=")</f>
        <v>#REF!</v>
      </c>
      <c r="GR86" t="e">
        <f>AND(#REF!,"AAAAAH3//8c=")</f>
        <v>#REF!</v>
      </c>
      <c r="GS86" t="e">
        <f>AND(#REF!,"AAAAAH3//8g=")</f>
        <v>#REF!</v>
      </c>
      <c r="GT86" t="e">
        <f>AND(#REF!,"AAAAAH3//8k=")</f>
        <v>#REF!</v>
      </c>
      <c r="GU86" t="e">
        <f>AND(#REF!,"AAAAAH3//8o=")</f>
        <v>#REF!</v>
      </c>
      <c r="GV86" t="e">
        <f>AND(#REF!,"AAAAAH3//8s=")</f>
        <v>#REF!</v>
      </c>
      <c r="GW86" t="e">
        <f>IF(#REF!,"AAAAAH3//8w=",0)</f>
        <v>#REF!</v>
      </c>
      <c r="GX86" t="e">
        <f>AND(#REF!,"AAAAAH3//80=")</f>
        <v>#REF!</v>
      </c>
      <c r="GY86" t="e">
        <f>AND(#REF!,"AAAAAH3//84=")</f>
        <v>#REF!</v>
      </c>
      <c r="GZ86" t="e">
        <f>AND(#REF!,"AAAAAH3//88=")</f>
        <v>#REF!</v>
      </c>
      <c r="HA86" t="e">
        <f>AND(#REF!,"AAAAAH3//9A=")</f>
        <v>#REF!</v>
      </c>
      <c r="HB86" t="e">
        <f>AND(#REF!,"AAAAAH3//9E=")</f>
        <v>#REF!</v>
      </c>
      <c r="HC86" t="e">
        <f>AND(#REF!,"AAAAAH3//9I=")</f>
        <v>#REF!</v>
      </c>
      <c r="HD86" t="e">
        <f>IF(#REF!,"AAAAAH3//9M=",0)</f>
        <v>#REF!</v>
      </c>
      <c r="HE86" t="e">
        <f>AND(#REF!,"AAAAAH3//9Q=")</f>
        <v>#REF!</v>
      </c>
      <c r="HF86" t="e">
        <f>AND(#REF!,"AAAAAH3//9U=")</f>
        <v>#REF!</v>
      </c>
      <c r="HG86" t="e">
        <f>AND(#REF!,"AAAAAH3//9Y=")</f>
        <v>#REF!</v>
      </c>
      <c r="HH86" t="e">
        <f>AND(#REF!,"AAAAAH3//9c=")</f>
        <v>#REF!</v>
      </c>
      <c r="HI86" t="e">
        <f>AND(#REF!,"AAAAAH3//9g=")</f>
        <v>#REF!</v>
      </c>
      <c r="HJ86" t="e">
        <f>AND(#REF!,"AAAAAH3//9k=")</f>
        <v>#REF!</v>
      </c>
      <c r="HK86" t="e">
        <f>IF(#REF!,"AAAAAH3//9o=",0)</f>
        <v>#REF!</v>
      </c>
      <c r="HL86" t="e">
        <f>AND(#REF!,"AAAAAH3//9s=")</f>
        <v>#REF!</v>
      </c>
      <c r="HM86" t="e">
        <f>AND(#REF!,"AAAAAH3//9w=")</f>
        <v>#REF!</v>
      </c>
      <c r="HN86" t="e">
        <f>AND(#REF!,"AAAAAH3//90=")</f>
        <v>#REF!</v>
      </c>
      <c r="HO86" t="e">
        <f>AND(#REF!,"AAAAAH3//94=")</f>
        <v>#REF!</v>
      </c>
      <c r="HP86" t="e">
        <f>AND(#REF!,"AAAAAH3//98=")</f>
        <v>#REF!</v>
      </c>
      <c r="HQ86" t="e">
        <f>AND(#REF!,"AAAAAH3//+A=")</f>
        <v>#REF!</v>
      </c>
      <c r="HR86" t="e">
        <f>IF(#REF!,"AAAAAH3//+E=",0)</f>
        <v>#REF!</v>
      </c>
      <c r="HS86" t="e">
        <f>AND(#REF!,"AAAAAH3//+I=")</f>
        <v>#REF!</v>
      </c>
      <c r="HT86" t="e">
        <f>AND(#REF!,"AAAAAH3//+M=")</f>
        <v>#REF!</v>
      </c>
      <c r="HU86" t="e">
        <f>AND(#REF!,"AAAAAH3//+Q=")</f>
        <v>#REF!</v>
      </c>
      <c r="HV86" t="e">
        <f>AND(#REF!,"AAAAAH3//+U=")</f>
        <v>#REF!</v>
      </c>
      <c r="HW86" t="e">
        <f>AND(#REF!,"AAAAAH3//+Y=")</f>
        <v>#REF!</v>
      </c>
      <c r="HX86" t="e">
        <f>AND(#REF!,"AAAAAH3//+c=")</f>
        <v>#REF!</v>
      </c>
      <c r="HY86" t="e">
        <f>IF(#REF!,"AAAAAH3//+g=",0)</f>
        <v>#REF!</v>
      </c>
      <c r="HZ86" t="e">
        <f>AND(#REF!,"AAAAAH3//+k=")</f>
        <v>#REF!</v>
      </c>
      <c r="IA86" t="e">
        <f>AND(#REF!,"AAAAAH3//+o=")</f>
        <v>#REF!</v>
      </c>
      <c r="IB86" t="e">
        <f>AND(#REF!,"AAAAAH3//+s=")</f>
        <v>#REF!</v>
      </c>
      <c r="IC86" t="e">
        <f>AND(#REF!,"AAAAAH3//+w=")</f>
        <v>#REF!</v>
      </c>
      <c r="ID86" t="e">
        <f>AND(#REF!,"AAAAAH3//+0=")</f>
        <v>#REF!</v>
      </c>
      <c r="IE86" t="e">
        <f>AND(#REF!,"AAAAAH3//+4=")</f>
        <v>#REF!</v>
      </c>
      <c r="IF86" t="e">
        <f>IF(#REF!,"AAAAAH3//+8=",0)</f>
        <v>#REF!</v>
      </c>
      <c r="IG86" t="e">
        <f>AND(#REF!,"AAAAAH3///A=")</f>
        <v>#REF!</v>
      </c>
      <c r="IH86" t="e">
        <f>AND(#REF!,"AAAAAH3///E=")</f>
        <v>#REF!</v>
      </c>
      <c r="II86" t="e">
        <f>AND(#REF!,"AAAAAH3///I=")</f>
        <v>#REF!</v>
      </c>
      <c r="IJ86" t="e">
        <f>AND(#REF!,"AAAAAH3///M=")</f>
        <v>#REF!</v>
      </c>
      <c r="IK86" t="e">
        <f>AND(#REF!,"AAAAAH3///Q=")</f>
        <v>#REF!</v>
      </c>
      <c r="IL86" t="e">
        <f>AND(#REF!,"AAAAAH3///U=")</f>
        <v>#REF!</v>
      </c>
      <c r="IM86" t="e">
        <f>IF(#REF!,"AAAAAH3///Y=",0)</f>
        <v>#REF!</v>
      </c>
      <c r="IN86" t="e">
        <f>AND(#REF!,"AAAAAH3///c=")</f>
        <v>#REF!</v>
      </c>
      <c r="IO86" t="e">
        <f>AND(#REF!,"AAAAAH3///g=")</f>
        <v>#REF!</v>
      </c>
      <c r="IP86" t="e">
        <f>AND(#REF!,"AAAAAH3///k=")</f>
        <v>#REF!</v>
      </c>
      <c r="IQ86" t="e">
        <f>AND(#REF!,"AAAAAH3///o=")</f>
        <v>#REF!</v>
      </c>
      <c r="IR86" t="e">
        <f>AND(#REF!,"AAAAAH3///s=")</f>
        <v>#REF!</v>
      </c>
      <c r="IS86" t="e">
        <f>AND(#REF!,"AAAAAH3///w=")</f>
        <v>#REF!</v>
      </c>
      <c r="IT86" t="e">
        <f>IF(#REF!,"AAAAAH3///0=",0)</f>
        <v>#REF!</v>
      </c>
      <c r="IU86" t="e">
        <f>AND(#REF!,"AAAAAH3///4=")</f>
        <v>#REF!</v>
      </c>
      <c r="IV86" t="e">
        <f>AND(#REF!,"AAAAAH3///8=")</f>
        <v>#REF!</v>
      </c>
    </row>
    <row r="87" spans="1:256" x14ac:dyDescent="0.15">
      <c r="A87" t="e">
        <f>AND(#REF!,"AAAAAF3/9QA=")</f>
        <v>#REF!</v>
      </c>
      <c r="B87" t="e">
        <f>AND(#REF!,"AAAAAF3/9QE=")</f>
        <v>#REF!</v>
      </c>
      <c r="C87" t="e">
        <f>AND(#REF!,"AAAAAF3/9QI=")</f>
        <v>#REF!</v>
      </c>
      <c r="D87" t="e">
        <f>AND(#REF!,"AAAAAF3/9QM=")</f>
        <v>#REF!</v>
      </c>
      <c r="E87" t="e">
        <f>IF(#REF!,"AAAAAF3/9QQ=",0)</f>
        <v>#REF!</v>
      </c>
      <c r="F87" t="e">
        <f>AND(#REF!,"AAAAAF3/9QU=")</f>
        <v>#REF!</v>
      </c>
      <c r="G87" t="e">
        <f>AND(#REF!,"AAAAAF3/9QY=")</f>
        <v>#REF!</v>
      </c>
      <c r="H87" t="e">
        <f>AND(#REF!,"AAAAAF3/9Qc=")</f>
        <v>#REF!</v>
      </c>
      <c r="I87" t="e">
        <f>AND(#REF!,"AAAAAF3/9Qg=")</f>
        <v>#REF!</v>
      </c>
      <c r="J87" t="e">
        <f>AND(#REF!,"AAAAAF3/9Qk=")</f>
        <v>#REF!</v>
      </c>
      <c r="K87" t="e">
        <f>AND(#REF!,"AAAAAF3/9Qo=")</f>
        <v>#REF!</v>
      </c>
      <c r="L87" t="e">
        <f>IF(#REF!,"AAAAAF3/9Qs=",0)</f>
        <v>#REF!</v>
      </c>
      <c r="M87" t="e">
        <f>AND(#REF!,"AAAAAF3/9Qw=")</f>
        <v>#REF!</v>
      </c>
      <c r="N87" t="e">
        <f>AND(#REF!,"AAAAAF3/9Q0=")</f>
        <v>#REF!</v>
      </c>
      <c r="O87" t="e">
        <f>AND(#REF!,"AAAAAF3/9Q4=")</f>
        <v>#REF!</v>
      </c>
      <c r="P87" t="e">
        <f>AND(#REF!,"AAAAAF3/9Q8=")</f>
        <v>#REF!</v>
      </c>
      <c r="Q87" t="e">
        <f>AND(#REF!,"AAAAAF3/9RA=")</f>
        <v>#REF!</v>
      </c>
      <c r="R87" t="e">
        <f>AND(#REF!,"AAAAAF3/9RE=")</f>
        <v>#REF!</v>
      </c>
      <c r="S87" t="e">
        <f>IF(#REF!,"AAAAAF3/9RI=",0)</f>
        <v>#REF!</v>
      </c>
      <c r="T87" t="e">
        <f>AND(#REF!,"AAAAAF3/9RM=")</f>
        <v>#REF!</v>
      </c>
      <c r="U87" t="e">
        <f>AND(#REF!,"AAAAAF3/9RQ=")</f>
        <v>#REF!</v>
      </c>
      <c r="V87" t="e">
        <f>AND(#REF!,"AAAAAF3/9RU=")</f>
        <v>#REF!</v>
      </c>
      <c r="W87" t="e">
        <f>AND(#REF!,"AAAAAF3/9RY=")</f>
        <v>#REF!</v>
      </c>
      <c r="X87" t="e">
        <f>AND(#REF!,"AAAAAF3/9Rc=")</f>
        <v>#REF!</v>
      </c>
      <c r="Y87" t="e">
        <f>AND(#REF!,"AAAAAF3/9Rg=")</f>
        <v>#REF!</v>
      </c>
      <c r="Z87" t="e">
        <f>IF(#REF!,"AAAAAF3/9Rk=",0)</f>
        <v>#REF!</v>
      </c>
      <c r="AA87" t="e">
        <f>AND(#REF!,"AAAAAF3/9Ro=")</f>
        <v>#REF!</v>
      </c>
      <c r="AB87" t="e">
        <f>AND(#REF!,"AAAAAF3/9Rs=")</f>
        <v>#REF!</v>
      </c>
      <c r="AC87" t="e">
        <f>AND(#REF!,"AAAAAF3/9Rw=")</f>
        <v>#REF!</v>
      </c>
      <c r="AD87" t="e">
        <f>AND(#REF!,"AAAAAF3/9R0=")</f>
        <v>#REF!</v>
      </c>
      <c r="AE87" t="e">
        <f>AND(#REF!,"AAAAAF3/9R4=")</f>
        <v>#REF!</v>
      </c>
      <c r="AF87" t="e">
        <f>AND(#REF!,"AAAAAF3/9R8=")</f>
        <v>#REF!</v>
      </c>
      <c r="AG87" t="e">
        <f>IF(#REF!,"AAAAAF3/9SA=",0)</f>
        <v>#REF!</v>
      </c>
      <c r="AH87" t="e">
        <f>AND(#REF!,"AAAAAF3/9SE=")</f>
        <v>#REF!</v>
      </c>
      <c r="AI87" t="e">
        <f>AND(#REF!,"AAAAAF3/9SI=")</f>
        <v>#REF!</v>
      </c>
      <c r="AJ87" t="e">
        <f>AND(#REF!,"AAAAAF3/9SM=")</f>
        <v>#REF!</v>
      </c>
      <c r="AK87" t="e">
        <f>AND(#REF!,"AAAAAF3/9SQ=")</f>
        <v>#REF!</v>
      </c>
      <c r="AL87" t="e">
        <f>AND(#REF!,"AAAAAF3/9SU=")</f>
        <v>#REF!</v>
      </c>
      <c r="AM87" t="e">
        <f>AND(#REF!,"AAAAAF3/9SY=")</f>
        <v>#REF!</v>
      </c>
      <c r="AN87" t="e">
        <f>IF(#REF!,"AAAAAF3/9Sc=",0)</f>
        <v>#REF!</v>
      </c>
      <c r="AO87" t="e">
        <f>AND(#REF!,"AAAAAF3/9Sg=")</f>
        <v>#REF!</v>
      </c>
      <c r="AP87" t="e">
        <f>AND(#REF!,"AAAAAF3/9Sk=")</f>
        <v>#REF!</v>
      </c>
      <c r="AQ87" t="e">
        <f>AND(#REF!,"AAAAAF3/9So=")</f>
        <v>#REF!</v>
      </c>
      <c r="AR87" t="e">
        <f>AND(#REF!,"AAAAAF3/9Ss=")</f>
        <v>#REF!</v>
      </c>
      <c r="AS87" t="e">
        <f>AND(#REF!,"AAAAAF3/9Sw=")</f>
        <v>#REF!</v>
      </c>
      <c r="AT87" t="e">
        <f>AND(#REF!,"AAAAAF3/9S0=")</f>
        <v>#REF!</v>
      </c>
      <c r="AU87" t="e">
        <f>IF(#REF!,"AAAAAF3/9S4=",0)</f>
        <v>#REF!</v>
      </c>
      <c r="AV87" t="e">
        <f>AND(#REF!,"AAAAAF3/9S8=")</f>
        <v>#REF!</v>
      </c>
      <c r="AW87" t="e">
        <f>AND(#REF!,"AAAAAF3/9TA=")</f>
        <v>#REF!</v>
      </c>
      <c r="AX87" t="e">
        <f>AND(#REF!,"AAAAAF3/9TE=")</f>
        <v>#REF!</v>
      </c>
      <c r="AY87" t="e">
        <f>AND(#REF!,"AAAAAF3/9TI=")</f>
        <v>#REF!</v>
      </c>
      <c r="AZ87" t="e">
        <f>AND(#REF!,"AAAAAF3/9TM=")</f>
        <v>#REF!</v>
      </c>
      <c r="BA87" t="e">
        <f>AND(#REF!,"AAAAAF3/9TQ=")</f>
        <v>#REF!</v>
      </c>
      <c r="BB87" t="e">
        <f>IF(#REF!,"AAAAAF3/9TU=",0)</f>
        <v>#REF!</v>
      </c>
      <c r="BC87" t="e">
        <f>AND(#REF!,"AAAAAF3/9TY=")</f>
        <v>#REF!</v>
      </c>
      <c r="BD87" t="e">
        <f>AND(#REF!,"AAAAAF3/9Tc=")</f>
        <v>#REF!</v>
      </c>
      <c r="BE87" t="e">
        <f>AND(#REF!,"AAAAAF3/9Tg=")</f>
        <v>#REF!</v>
      </c>
      <c r="BF87" t="e">
        <f>AND(#REF!,"AAAAAF3/9Tk=")</f>
        <v>#REF!</v>
      </c>
      <c r="BG87" t="e">
        <f>AND(#REF!,"AAAAAF3/9To=")</f>
        <v>#REF!</v>
      </c>
      <c r="BH87" t="e">
        <f>AND(#REF!,"AAAAAF3/9Ts=")</f>
        <v>#REF!</v>
      </c>
      <c r="BI87" t="e">
        <f>IF(#REF!,"AAAAAF3/9Tw=",0)</f>
        <v>#REF!</v>
      </c>
      <c r="BJ87" t="e">
        <f>AND(#REF!,"AAAAAF3/9T0=")</f>
        <v>#REF!</v>
      </c>
      <c r="BK87" t="e">
        <f>AND(#REF!,"AAAAAF3/9T4=")</f>
        <v>#REF!</v>
      </c>
      <c r="BL87" t="e">
        <f>AND(#REF!,"AAAAAF3/9T8=")</f>
        <v>#REF!</v>
      </c>
      <c r="BM87" t="e">
        <f>AND(#REF!,"AAAAAF3/9UA=")</f>
        <v>#REF!</v>
      </c>
      <c r="BN87" t="e">
        <f>AND(#REF!,"AAAAAF3/9UE=")</f>
        <v>#REF!</v>
      </c>
      <c r="BO87" t="e">
        <f>AND(#REF!,"AAAAAF3/9UI=")</f>
        <v>#REF!</v>
      </c>
      <c r="BP87" t="e">
        <f>IF(#REF!,"AAAAAF3/9UM=",0)</f>
        <v>#REF!</v>
      </c>
      <c r="BQ87" t="e">
        <f>AND(#REF!,"AAAAAF3/9UQ=")</f>
        <v>#REF!</v>
      </c>
      <c r="BR87" t="e">
        <f>AND(#REF!,"AAAAAF3/9UU=")</f>
        <v>#REF!</v>
      </c>
      <c r="BS87" t="e">
        <f>AND(#REF!,"AAAAAF3/9UY=")</f>
        <v>#REF!</v>
      </c>
      <c r="BT87" t="e">
        <f>AND(#REF!,"AAAAAF3/9Uc=")</f>
        <v>#REF!</v>
      </c>
      <c r="BU87" t="e">
        <f>AND(#REF!,"AAAAAF3/9Ug=")</f>
        <v>#REF!</v>
      </c>
      <c r="BV87" t="e">
        <f>AND(#REF!,"AAAAAF3/9Uk=")</f>
        <v>#REF!</v>
      </c>
      <c r="BW87" t="e">
        <f>IF(#REF!,"AAAAAF3/9Uo=",0)</f>
        <v>#REF!</v>
      </c>
      <c r="BX87" t="e">
        <f>AND(#REF!,"AAAAAF3/9Us=")</f>
        <v>#REF!</v>
      </c>
      <c r="BY87" t="e">
        <f>AND(#REF!,"AAAAAF3/9Uw=")</f>
        <v>#REF!</v>
      </c>
      <c r="BZ87" t="e">
        <f>AND(#REF!,"AAAAAF3/9U0=")</f>
        <v>#REF!</v>
      </c>
      <c r="CA87" t="e">
        <f>AND(#REF!,"AAAAAF3/9U4=")</f>
        <v>#REF!</v>
      </c>
      <c r="CB87" t="e">
        <f>AND(#REF!,"AAAAAF3/9U8=")</f>
        <v>#REF!</v>
      </c>
      <c r="CC87" t="e">
        <f>AND(#REF!,"AAAAAF3/9VA=")</f>
        <v>#REF!</v>
      </c>
      <c r="CD87" t="e">
        <f>IF(#REF!,"AAAAAF3/9VE=",0)</f>
        <v>#REF!</v>
      </c>
      <c r="CE87" t="e">
        <f>AND(#REF!,"AAAAAF3/9VI=")</f>
        <v>#REF!</v>
      </c>
      <c r="CF87" t="e">
        <f>AND(#REF!,"AAAAAF3/9VM=")</f>
        <v>#REF!</v>
      </c>
      <c r="CG87" t="e">
        <f>AND(#REF!,"AAAAAF3/9VQ=")</f>
        <v>#REF!</v>
      </c>
      <c r="CH87" t="e">
        <f>AND(#REF!,"AAAAAF3/9VU=")</f>
        <v>#REF!</v>
      </c>
      <c r="CI87" t="e">
        <f>AND(#REF!,"AAAAAF3/9VY=")</f>
        <v>#REF!</v>
      </c>
      <c r="CJ87" t="e">
        <f>AND(#REF!,"AAAAAF3/9Vc=")</f>
        <v>#REF!</v>
      </c>
      <c r="CK87" t="e">
        <f>IF(#REF!,"AAAAAF3/9Vg=",0)</f>
        <v>#REF!</v>
      </c>
      <c r="CL87" t="e">
        <f>AND(#REF!,"AAAAAF3/9Vk=")</f>
        <v>#REF!</v>
      </c>
      <c r="CM87" t="e">
        <f>AND(#REF!,"AAAAAF3/9Vo=")</f>
        <v>#REF!</v>
      </c>
      <c r="CN87" t="e">
        <f>AND(#REF!,"AAAAAF3/9Vs=")</f>
        <v>#REF!</v>
      </c>
      <c r="CO87" t="e">
        <f>AND(#REF!,"AAAAAF3/9Vw=")</f>
        <v>#REF!</v>
      </c>
      <c r="CP87" t="e">
        <f>AND(#REF!,"AAAAAF3/9V0=")</f>
        <v>#REF!</v>
      </c>
      <c r="CQ87" t="e">
        <f>AND(#REF!,"AAAAAF3/9V4=")</f>
        <v>#REF!</v>
      </c>
      <c r="CR87" t="e">
        <f>IF(#REF!,"AAAAAF3/9V8=",0)</f>
        <v>#REF!</v>
      </c>
      <c r="CS87" t="e">
        <f>AND(#REF!,"AAAAAF3/9WA=")</f>
        <v>#REF!</v>
      </c>
      <c r="CT87" t="e">
        <f>AND(#REF!,"AAAAAF3/9WE=")</f>
        <v>#REF!</v>
      </c>
      <c r="CU87" t="e">
        <f>AND(#REF!,"AAAAAF3/9WI=")</f>
        <v>#REF!</v>
      </c>
      <c r="CV87" t="e">
        <f>AND(#REF!,"AAAAAF3/9WM=")</f>
        <v>#REF!</v>
      </c>
      <c r="CW87" t="e">
        <f>AND(#REF!,"AAAAAF3/9WQ=")</f>
        <v>#REF!</v>
      </c>
      <c r="CX87" t="e">
        <f>AND(#REF!,"AAAAAF3/9WU=")</f>
        <v>#REF!</v>
      </c>
      <c r="CY87" t="e">
        <f>IF(#REF!,"AAAAAF3/9WY=",0)</f>
        <v>#REF!</v>
      </c>
      <c r="CZ87" t="e">
        <f>AND(#REF!,"AAAAAF3/9Wc=")</f>
        <v>#REF!</v>
      </c>
      <c r="DA87" t="e">
        <f>AND(#REF!,"AAAAAF3/9Wg=")</f>
        <v>#REF!</v>
      </c>
      <c r="DB87" t="e">
        <f>AND(#REF!,"AAAAAF3/9Wk=")</f>
        <v>#REF!</v>
      </c>
      <c r="DC87" t="e">
        <f>AND(#REF!,"AAAAAF3/9Wo=")</f>
        <v>#REF!</v>
      </c>
      <c r="DD87" t="e">
        <f>AND(#REF!,"AAAAAF3/9Ws=")</f>
        <v>#REF!</v>
      </c>
      <c r="DE87" t="e">
        <f>AND(#REF!,"AAAAAF3/9Ww=")</f>
        <v>#REF!</v>
      </c>
      <c r="DF87" t="e">
        <f>IF(#REF!,"AAAAAF3/9W0=",0)</f>
        <v>#REF!</v>
      </c>
      <c r="DG87" t="e">
        <f>AND(#REF!,"AAAAAF3/9W4=")</f>
        <v>#REF!</v>
      </c>
      <c r="DH87" t="e">
        <f>AND(#REF!,"AAAAAF3/9W8=")</f>
        <v>#REF!</v>
      </c>
      <c r="DI87" t="e">
        <f>AND(#REF!,"AAAAAF3/9XA=")</f>
        <v>#REF!</v>
      </c>
      <c r="DJ87" t="e">
        <f>AND(#REF!,"AAAAAF3/9XE=")</f>
        <v>#REF!</v>
      </c>
      <c r="DK87" t="e">
        <f>AND(#REF!,"AAAAAF3/9XI=")</f>
        <v>#REF!</v>
      </c>
      <c r="DL87" t="e">
        <f>AND(#REF!,"AAAAAF3/9XM=")</f>
        <v>#REF!</v>
      </c>
      <c r="DM87" t="e">
        <f>IF(#REF!,"AAAAAF3/9XQ=",0)</f>
        <v>#REF!</v>
      </c>
      <c r="DN87" t="e">
        <f>AND(#REF!,"AAAAAF3/9XU=")</f>
        <v>#REF!</v>
      </c>
      <c r="DO87" t="e">
        <f>AND(#REF!,"AAAAAF3/9XY=")</f>
        <v>#REF!</v>
      </c>
      <c r="DP87" t="e">
        <f>AND(#REF!,"AAAAAF3/9Xc=")</f>
        <v>#REF!</v>
      </c>
      <c r="DQ87" t="e">
        <f>AND(#REF!,"AAAAAF3/9Xg=")</f>
        <v>#REF!</v>
      </c>
      <c r="DR87" t="e">
        <f>AND(#REF!,"AAAAAF3/9Xk=")</f>
        <v>#REF!</v>
      </c>
      <c r="DS87" t="e">
        <f>AND(#REF!,"AAAAAF3/9Xo=")</f>
        <v>#REF!</v>
      </c>
      <c r="DT87" t="e">
        <f>IF(#REF!,"AAAAAF3/9Xs=",0)</f>
        <v>#REF!</v>
      </c>
      <c r="DU87" t="e">
        <f>AND(#REF!,"AAAAAF3/9Xw=")</f>
        <v>#REF!</v>
      </c>
      <c r="DV87" t="e">
        <f>AND(#REF!,"AAAAAF3/9X0=")</f>
        <v>#REF!</v>
      </c>
      <c r="DW87" t="e">
        <f>AND(#REF!,"AAAAAF3/9X4=")</f>
        <v>#REF!</v>
      </c>
      <c r="DX87" t="e">
        <f>AND(#REF!,"AAAAAF3/9X8=")</f>
        <v>#REF!</v>
      </c>
      <c r="DY87" t="e">
        <f>AND(#REF!,"AAAAAF3/9YA=")</f>
        <v>#REF!</v>
      </c>
      <c r="DZ87" t="e">
        <f>AND(#REF!,"AAAAAF3/9YE=")</f>
        <v>#REF!</v>
      </c>
      <c r="EA87" t="e">
        <f>IF(#REF!,"AAAAAF3/9YI=",0)</f>
        <v>#REF!</v>
      </c>
      <c r="EB87" t="e">
        <f>AND(#REF!,"AAAAAF3/9YM=")</f>
        <v>#REF!</v>
      </c>
      <c r="EC87" t="e">
        <f>AND(#REF!,"AAAAAF3/9YQ=")</f>
        <v>#REF!</v>
      </c>
      <c r="ED87" t="e">
        <f>AND(#REF!,"AAAAAF3/9YU=")</f>
        <v>#REF!</v>
      </c>
      <c r="EE87" t="e">
        <f>AND(#REF!,"AAAAAF3/9YY=")</f>
        <v>#REF!</v>
      </c>
      <c r="EF87" t="e">
        <f>AND(#REF!,"AAAAAF3/9Yc=")</f>
        <v>#REF!</v>
      </c>
      <c r="EG87" t="e">
        <f>AND(#REF!,"AAAAAF3/9Yg=")</f>
        <v>#REF!</v>
      </c>
      <c r="EH87" t="e">
        <f>IF(#REF!,"AAAAAF3/9Yk=",0)</f>
        <v>#REF!</v>
      </c>
      <c r="EI87" t="e">
        <f>AND(#REF!,"AAAAAF3/9Yo=")</f>
        <v>#REF!</v>
      </c>
      <c r="EJ87" t="e">
        <f>AND(#REF!,"AAAAAF3/9Ys=")</f>
        <v>#REF!</v>
      </c>
      <c r="EK87" t="e">
        <f>AND(#REF!,"AAAAAF3/9Yw=")</f>
        <v>#REF!</v>
      </c>
      <c r="EL87" t="e">
        <f>AND(#REF!,"AAAAAF3/9Y0=")</f>
        <v>#REF!</v>
      </c>
      <c r="EM87" t="e">
        <f>AND(#REF!,"AAAAAF3/9Y4=")</f>
        <v>#REF!</v>
      </c>
      <c r="EN87" t="e">
        <f>AND(#REF!,"AAAAAF3/9Y8=")</f>
        <v>#REF!</v>
      </c>
      <c r="EO87" t="e">
        <f>IF(#REF!,"AAAAAF3/9ZA=",0)</f>
        <v>#REF!</v>
      </c>
      <c r="EP87" t="e">
        <f>AND(#REF!,"AAAAAF3/9ZE=")</f>
        <v>#REF!</v>
      </c>
      <c r="EQ87" t="e">
        <f>AND(#REF!,"AAAAAF3/9ZI=")</f>
        <v>#REF!</v>
      </c>
      <c r="ER87" t="e">
        <f>AND(#REF!,"AAAAAF3/9ZM=")</f>
        <v>#REF!</v>
      </c>
      <c r="ES87" t="e">
        <f>AND(#REF!,"AAAAAF3/9ZQ=")</f>
        <v>#REF!</v>
      </c>
      <c r="ET87" t="e">
        <f>AND(#REF!,"AAAAAF3/9ZU=")</f>
        <v>#REF!</v>
      </c>
      <c r="EU87" t="e">
        <f>AND(#REF!,"AAAAAF3/9ZY=")</f>
        <v>#REF!</v>
      </c>
      <c r="EV87" t="e">
        <f>IF(#REF!,"AAAAAF3/9Zc=",0)</f>
        <v>#REF!</v>
      </c>
      <c r="EW87" t="e">
        <f>AND(#REF!,"AAAAAF3/9Zg=")</f>
        <v>#REF!</v>
      </c>
      <c r="EX87" t="e">
        <f>AND(#REF!,"AAAAAF3/9Zk=")</f>
        <v>#REF!</v>
      </c>
      <c r="EY87" t="e">
        <f>AND(#REF!,"AAAAAF3/9Zo=")</f>
        <v>#REF!</v>
      </c>
      <c r="EZ87" t="e">
        <f>AND(#REF!,"AAAAAF3/9Zs=")</f>
        <v>#REF!</v>
      </c>
      <c r="FA87" t="e">
        <f>AND(#REF!,"AAAAAF3/9Zw=")</f>
        <v>#REF!</v>
      </c>
      <c r="FB87" t="e">
        <f>AND(#REF!,"AAAAAF3/9Z0=")</f>
        <v>#REF!</v>
      </c>
      <c r="FC87" t="e">
        <f>IF(#REF!,"AAAAAF3/9Z4=",0)</f>
        <v>#REF!</v>
      </c>
      <c r="FD87" t="e">
        <f>AND(#REF!,"AAAAAF3/9Z8=")</f>
        <v>#REF!</v>
      </c>
      <c r="FE87" t="e">
        <f>AND(#REF!,"AAAAAF3/9aA=")</f>
        <v>#REF!</v>
      </c>
      <c r="FF87" t="e">
        <f>AND(#REF!,"AAAAAF3/9aE=")</f>
        <v>#REF!</v>
      </c>
      <c r="FG87" t="e">
        <f>AND(#REF!,"AAAAAF3/9aI=")</f>
        <v>#REF!</v>
      </c>
      <c r="FH87" t="e">
        <f>AND(#REF!,"AAAAAF3/9aM=")</f>
        <v>#REF!</v>
      </c>
      <c r="FI87" t="e">
        <f>AND(#REF!,"AAAAAF3/9aQ=")</f>
        <v>#REF!</v>
      </c>
      <c r="FJ87" t="e">
        <f>IF(#REF!,"AAAAAF3/9aU=",0)</f>
        <v>#REF!</v>
      </c>
      <c r="FK87" t="e">
        <f>AND(#REF!,"AAAAAF3/9aY=")</f>
        <v>#REF!</v>
      </c>
      <c r="FL87" t="e">
        <f>AND(#REF!,"AAAAAF3/9ac=")</f>
        <v>#REF!</v>
      </c>
      <c r="FM87" t="e">
        <f>AND(#REF!,"AAAAAF3/9ag=")</f>
        <v>#REF!</v>
      </c>
      <c r="FN87" t="e">
        <f>AND(#REF!,"AAAAAF3/9ak=")</f>
        <v>#REF!</v>
      </c>
      <c r="FO87" t="e">
        <f>AND(#REF!,"AAAAAF3/9ao=")</f>
        <v>#REF!</v>
      </c>
      <c r="FP87" t="e">
        <f>AND(#REF!,"AAAAAF3/9as=")</f>
        <v>#REF!</v>
      </c>
      <c r="FQ87" t="e">
        <f>IF(#REF!,"AAAAAF3/9aw=",0)</f>
        <v>#REF!</v>
      </c>
      <c r="FR87" t="e">
        <f>AND(#REF!,"AAAAAF3/9a0=")</f>
        <v>#REF!</v>
      </c>
      <c r="FS87" t="e">
        <f>AND(#REF!,"AAAAAF3/9a4=")</f>
        <v>#REF!</v>
      </c>
      <c r="FT87" t="e">
        <f>AND(#REF!,"AAAAAF3/9a8=")</f>
        <v>#REF!</v>
      </c>
      <c r="FU87" t="e">
        <f>AND(#REF!,"AAAAAF3/9bA=")</f>
        <v>#REF!</v>
      </c>
      <c r="FV87" t="e">
        <f>AND(#REF!,"AAAAAF3/9bE=")</f>
        <v>#REF!</v>
      </c>
      <c r="FW87" t="e">
        <f>AND(#REF!,"AAAAAF3/9bI=")</f>
        <v>#REF!</v>
      </c>
      <c r="FX87" t="e">
        <f>IF(#REF!,"AAAAAF3/9bM=",0)</f>
        <v>#REF!</v>
      </c>
      <c r="FY87" t="e">
        <f>AND(#REF!,"AAAAAF3/9bQ=")</f>
        <v>#REF!</v>
      </c>
      <c r="FZ87" t="e">
        <f>AND(#REF!,"AAAAAF3/9bU=")</f>
        <v>#REF!</v>
      </c>
      <c r="GA87" t="e">
        <f>AND(#REF!,"AAAAAF3/9bY=")</f>
        <v>#REF!</v>
      </c>
      <c r="GB87" t="e">
        <f>AND(#REF!,"AAAAAF3/9bc=")</f>
        <v>#REF!</v>
      </c>
      <c r="GC87" t="e">
        <f>AND(#REF!,"AAAAAF3/9bg=")</f>
        <v>#REF!</v>
      </c>
      <c r="GD87" t="e">
        <f>AND(#REF!,"AAAAAF3/9bk=")</f>
        <v>#REF!</v>
      </c>
      <c r="GE87" t="e">
        <f>IF(#REF!,"AAAAAF3/9bo=",0)</f>
        <v>#REF!</v>
      </c>
      <c r="GF87" t="e">
        <f>AND(#REF!,"AAAAAF3/9bs=")</f>
        <v>#REF!</v>
      </c>
      <c r="GG87" t="e">
        <f>AND(#REF!,"AAAAAF3/9bw=")</f>
        <v>#REF!</v>
      </c>
      <c r="GH87" t="e">
        <f>AND(#REF!,"AAAAAF3/9b0=")</f>
        <v>#REF!</v>
      </c>
      <c r="GI87" t="e">
        <f>AND(#REF!,"AAAAAF3/9b4=")</f>
        <v>#REF!</v>
      </c>
      <c r="GJ87" t="e">
        <f>AND(#REF!,"AAAAAF3/9b8=")</f>
        <v>#REF!</v>
      </c>
      <c r="GK87" t="e">
        <f>AND(#REF!,"AAAAAF3/9cA=")</f>
        <v>#REF!</v>
      </c>
      <c r="GL87" t="e">
        <f>IF(#REF!,"AAAAAF3/9cE=",0)</f>
        <v>#REF!</v>
      </c>
      <c r="GM87" t="e">
        <f>AND(#REF!,"AAAAAF3/9cI=")</f>
        <v>#REF!</v>
      </c>
      <c r="GN87" t="e">
        <f>AND(#REF!,"AAAAAF3/9cM=")</f>
        <v>#REF!</v>
      </c>
      <c r="GO87" t="e">
        <f>AND(#REF!,"AAAAAF3/9cQ=")</f>
        <v>#REF!</v>
      </c>
      <c r="GP87" t="e">
        <f>AND(#REF!,"AAAAAF3/9cU=")</f>
        <v>#REF!</v>
      </c>
      <c r="GQ87" t="e">
        <f>AND(#REF!,"AAAAAF3/9cY=")</f>
        <v>#REF!</v>
      </c>
      <c r="GR87" t="e">
        <f>AND(#REF!,"AAAAAF3/9cc=")</f>
        <v>#REF!</v>
      </c>
      <c r="GS87" t="e">
        <f>IF(#REF!,"AAAAAF3/9cg=",0)</f>
        <v>#REF!</v>
      </c>
      <c r="GT87" t="e">
        <f>AND(#REF!,"AAAAAF3/9ck=")</f>
        <v>#REF!</v>
      </c>
      <c r="GU87" t="e">
        <f>AND(#REF!,"AAAAAF3/9co=")</f>
        <v>#REF!</v>
      </c>
      <c r="GV87" t="e">
        <f>AND(#REF!,"AAAAAF3/9cs=")</f>
        <v>#REF!</v>
      </c>
      <c r="GW87" t="e">
        <f>AND(#REF!,"AAAAAF3/9cw=")</f>
        <v>#REF!</v>
      </c>
      <c r="GX87" t="e">
        <f>AND(#REF!,"AAAAAF3/9c0=")</f>
        <v>#REF!</v>
      </c>
      <c r="GY87" t="e">
        <f>AND(#REF!,"AAAAAF3/9c4=")</f>
        <v>#REF!</v>
      </c>
      <c r="GZ87" t="e">
        <f>IF(#REF!,"AAAAAF3/9c8=",0)</f>
        <v>#REF!</v>
      </c>
      <c r="HA87" t="e">
        <f>AND(#REF!,"AAAAAF3/9dA=")</f>
        <v>#REF!</v>
      </c>
      <c r="HB87" t="e">
        <f>AND(#REF!,"AAAAAF3/9dE=")</f>
        <v>#REF!</v>
      </c>
      <c r="HC87" t="e">
        <f>AND(#REF!,"AAAAAF3/9dI=")</f>
        <v>#REF!</v>
      </c>
      <c r="HD87" t="e">
        <f>AND(#REF!,"AAAAAF3/9dM=")</f>
        <v>#REF!</v>
      </c>
      <c r="HE87" t="e">
        <f>AND(#REF!,"AAAAAF3/9dQ=")</f>
        <v>#REF!</v>
      </c>
      <c r="HF87" t="e">
        <f>AND(#REF!,"AAAAAF3/9dU=")</f>
        <v>#REF!</v>
      </c>
      <c r="HG87" t="e">
        <f>IF(#REF!,"AAAAAF3/9dY=",0)</f>
        <v>#REF!</v>
      </c>
      <c r="HH87" t="e">
        <f>AND(#REF!,"AAAAAF3/9dc=")</f>
        <v>#REF!</v>
      </c>
      <c r="HI87" t="e">
        <f>AND(#REF!,"AAAAAF3/9dg=")</f>
        <v>#REF!</v>
      </c>
      <c r="HJ87" t="e">
        <f>AND(#REF!,"AAAAAF3/9dk=")</f>
        <v>#REF!</v>
      </c>
      <c r="HK87" t="e">
        <f>AND(#REF!,"AAAAAF3/9do=")</f>
        <v>#REF!</v>
      </c>
      <c r="HL87" t="e">
        <f>AND(#REF!,"AAAAAF3/9ds=")</f>
        <v>#REF!</v>
      </c>
      <c r="HM87" t="e">
        <f>AND(#REF!,"AAAAAF3/9dw=")</f>
        <v>#REF!</v>
      </c>
      <c r="HN87" t="e">
        <f>IF(#REF!,"AAAAAF3/9d0=",0)</f>
        <v>#REF!</v>
      </c>
      <c r="HO87" t="e">
        <f>AND(#REF!,"AAAAAF3/9d4=")</f>
        <v>#REF!</v>
      </c>
      <c r="HP87" t="e">
        <f>AND(#REF!,"AAAAAF3/9d8=")</f>
        <v>#REF!</v>
      </c>
      <c r="HQ87" t="e">
        <f>AND(#REF!,"AAAAAF3/9eA=")</f>
        <v>#REF!</v>
      </c>
      <c r="HR87" t="e">
        <f>AND(#REF!,"AAAAAF3/9eE=")</f>
        <v>#REF!</v>
      </c>
      <c r="HS87" t="e">
        <f>AND(#REF!,"AAAAAF3/9eI=")</f>
        <v>#REF!</v>
      </c>
      <c r="HT87" t="e">
        <f>AND(#REF!,"AAAAAF3/9eM=")</f>
        <v>#REF!</v>
      </c>
      <c r="HU87" t="e">
        <f>IF(#REF!,"AAAAAF3/9eQ=",0)</f>
        <v>#REF!</v>
      </c>
      <c r="HV87" t="e">
        <f>AND(#REF!,"AAAAAF3/9eU=")</f>
        <v>#REF!</v>
      </c>
      <c r="HW87" t="e">
        <f>AND(#REF!,"AAAAAF3/9eY=")</f>
        <v>#REF!</v>
      </c>
      <c r="HX87" t="e">
        <f>AND(#REF!,"AAAAAF3/9ec=")</f>
        <v>#REF!</v>
      </c>
      <c r="HY87" t="e">
        <f>AND(#REF!,"AAAAAF3/9eg=")</f>
        <v>#REF!</v>
      </c>
      <c r="HZ87" t="e">
        <f>AND(#REF!,"AAAAAF3/9ek=")</f>
        <v>#REF!</v>
      </c>
      <c r="IA87" t="e">
        <f>AND(#REF!,"AAAAAF3/9eo=")</f>
        <v>#REF!</v>
      </c>
      <c r="IB87" t="e">
        <f>IF(#REF!,"AAAAAF3/9es=",0)</f>
        <v>#REF!</v>
      </c>
      <c r="IC87" t="e">
        <f>AND(#REF!,"AAAAAF3/9ew=")</f>
        <v>#REF!</v>
      </c>
      <c r="ID87" t="e">
        <f>AND(#REF!,"AAAAAF3/9e0=")</f>
        <v>#REF!</v>
      </c>
      <c r="IE87" t="e">
        <f>AND(#REF!,"AAAAAF3/9e4=")</f>
        <v>#REF!</v>
      </c>
      <c r="IF87" t="e">
        <f>AND(#REF!,"AAAAAF3/9e8=")</f>
        <v>#REF!</v>
      </c>
      <c r="IG87" t="e">
        <f>AND(#REF!,"AAAAAF3/9fA=")</f>
        <v>#REF!</v>
      </c>
      <c r="IH87" t="e">
        <f>AND(#REF!,"AAAAAF3/9fE=")</f>
        <v>#REF!</v>
      </c>
      <c r="II87" t="e">
        <f>IF(#REF!,"AAAAAF3/9fI=",0)</f>
        <v>#REF!</v>
      </c>
      <c r="IJ87" t="e">
        <f>AND(#REF!,"AAAAAF3/9fM=")</f>
        <v>#REF!</v>
      </c>
      <c r="IK87" t="e">
        <f>AND(#REF!,"AAAAAF3/9fQ=")</f>
        <v>#REF!</v>
      </c>
      <c r="IL87" t="e">
        <f>AND(#REF!,"AAAAAF3/9fU=")</f>
        <v>#REF!</v>
      </c>
      <c r="IM87" t="e">
        <f>AND(#REF!,"AAAAAF3/9fY=")</f>
        <v>#REF!</v>
      </c>
      <c r="IN87" t="e">
        <f>AND(#REF!,"AAAAAF3/9fc=")</f>
        <v>#REF!</v>
      </c>
      <c r="IO87" t="e">
        <f>AND(#REF!,"AAAAAF3/9fg=")</f>
        <v>#REF!</v>
      </c>
      <c r="IP87" t="e">
        <f>IF(#REF!,"AAAAAF3/9fk=",0)</f>
        <v>#REF!</v>
      </c>
      <c r="IQ87" t="e">
        <f>AND(#REF!,"AAAAAF3/9fo=")</f>
        <v>#REF!</v>
      </c>
      <c r="IR87" t="e">
        <f>AND(#REF!,"AAAAAF3/9fs=")</f>
        <v>#REF!</v>
      </c>
      <c r="IS87" t="e">
        <f>AND(#REF!,"AAAAAF3/9fw=")</f>
        <v>#REF!</v>
      </c>
      <c r="IT87" t="e">
        <f>AND(#REF!,"AAAAAF3/9f0=")</f>
        <v>#REF!</v>
      </c>
      <c r="IU87" t="e">
        <f>AND(#REF!,"AAAAAF3/9f4=")</f>
        <v>#REF!</v>
      </c>
      <c r="IV87" t="e">
        <f>AND(#REF!,"AAAAAF3/9f8=")</f>
        <v>#REF!</v>
      </c>
    </row>
    <row r="88" spans="1:256" x14ac:dyDescent="0.15">
      <c r="A88" t="e">
        <f>IF(#REF!,"AAAAAE926QA=",0)</f>
        <v>#REF!</v>
      </c>
      <c r="B88" t="e">
        <f>AND(#REF!,"AAAAAE926QE=")</f>
        <v>#REF!</v>
      </c>
      <c r="C88" t="e">
        <f>AND(#REF!,"AAAAAE926QI=")</f>
        <v>#REF!</v>
      </c>
      <c r="D88" t="e">
        <f>AND(#REF!,"AAAAAE926QM=")</f>
        <v>#REF!</v>
      </c>
      <c r="E88" t="e">
        <f>AND(#REF!,"AAAAAE926QQ=")</f>
        <v>#REF!</v>
      </c>
      <c r="F88" t="e">
        <f>AND(#REF!,"AAAAAE926QU=")</f>
        <v>#REF!</v>
      </c>
      <c r="G88" t="e">
        <f>AND(#REF!,"AAAAAE926QY=")</f>
        <v>#REF!</v>
      </c>
      <c r="H88" t="e">
        <f>IF(#REF!,"AAAAAE926Qc=",0)</f>
        <v>#REF!</v>
      </c>
      <c r="I88" t="e">
        <f>AND(#REF!,"AAAAAE926Qg=")</f>
        <v>#REF!</v>
      </c>
      <c r="J88" t="e">
        <f>AND(#REF!,"AAAAAE926Qk=")</f>
        <v>#REF!</v>
      </c>
      <c r="K88" t="e">
        <f>AND(#REF!,"AAAAAE926Qo=")</f>
        <v>#REF!</v>
      </c>
      <c r="L88" t="e">
        <f>AND(#REF!,"AAAAAE926Qs=")</f>
        <v>#REF!</v>
      </c>
      <c r="M88" t="e">
        <f>AND(#REF!,"AAAAAE926Qw=")</f>
        <v>#REF!</v>
      </c>
      <c r="N88" t="e">
        <f>AND(#REF!,"AAAAAE926Q0=")</f>
        <v>#REF!</v>
      </c>
      <c r="O88" t="e">
        <f>IF(#REF!,"AAAAAE926Q4=",0)</f>
        <v>#REF!</v>
      </c>
      <c r="P88" t="e">
        <f>AND(#REF!,"AAAAAE926Q8=")</f>
        <v>#REF!</v>
      </c>
      <c r="Q88" t="e">
        <f>AND(#REF!,"AAAAAE926RA=")</f>
        <v>#REF!</v>
      </c>
      <c r="R88" t="e">
        <f>AND(#REF!,"AAAAAE926RE=")</f>
        <v>#REF!</v>
      </c>
      <c r="S88" t="e">
        <f>AND(#REF!,"AAAAAE926RI=")</f>
        <v>#REF!</v>
      </c>
      <c r="T88" t="e">
        <f>AND(#REF!,"AAAAAE926RM=")</f>
        <v>#REF!</v>
      </c>
      <c r="U88" t="e">
        <f>AND(#REF!,"AAAAAE926RQ=")</f>
        <v>#REF!</v>
      </c>
      <c r="V88" t="e">
        <f>IF(#REF!,"AAAAAE926RU=",0)</f>
        <v>#REF!</v>
      </c>
      <c r="W88" t="e">
        <f>AND(#REF!,"AAAAAE926RY=")</f>
        <v>#REF!</v>
      </c>
      <c r="X88" t="e">
        <f>AND(#REF!,"AAAAAE926Rc=")</f>
        <v>#REF!</v>
      </c>
      <c r="Y88" t="e">
        <f>AND(#REF!,"AAAAAE926Rg=")</f>
        <v>#REF!</v>
      </c>
      <c r="Z88" t="e">
        <f>AND(#REF!,"AAAAAE926Rk=")</f>
        <v>#REF!</v>
      </c>
      <c r="AA88" t="e">
        <f>AND(#REF!,"AAAAAE926Ro=")</f>
        <v>#REF!</v>
      </c>
      <c r="AB88" t="e">
        <f>AND(#REF!,"AAAAAE926Rs=")</f>
        <v>#REF!</v>
      </c>
      <c r="AC88" t="e">
        <f>IF(#REF!,"AAAAAE926Rw=",0)</f>
        <v>#REF!</v>
      </c>
      <c r="AD88" t="e">
        <f>AND(#REF!,"AAAAAE926R0=")</f>
        <v>#REF!</v>
      </c>
      <c r="AE88" t="e">
        <f>AND(#REF!,"AAAAAE926R4=")</f>
        <v>#REF!</v>
      </c>
      <c r="AF88" t="e">
        <f>AND(#REF!,"AAAAAE926R8=")</f>
        <v>#REF!</v>
      </c>
      <c r="AG88" t="e">
        <f>AND(#REF!,"AAAAAE926SA=")</f>
        <v>#REF!</v>
      </c>
      <c r="AH88" t="e">
        <f>AND(#REF!,"AAAAAE926SE=")</f>
        <v>#REF!</v>
      </c>
      <c r="AI88" t="e">
        <f>AND(#REF!,"AAAAAE926SI=")</f>
        <v>#REF!</v>
      </c>
      <c r="AJ88" t="e">
        <f>IF(#REF!,"AAAAAE926SM=",0)</f>
        <v>#REF!</v>
      </c>
      <c r="AK88" t="e">
        <f>AND(#REF!,"AAAAAE926SQ=")</f>
        <v>#REF!</v>
      </c>
      <c r="AL88" t="e">
        <f>AND(#REF!,"AAAAAE926SU=")</f>
        <v>#REF!</v>
      </c>
      <c r="AM88" t="e">
        <f>AND(#REF!,"AAAAAE926SY=")</f>
        <v>#REF!</v>
      </c>
      <c r="AN88" t="e">
        <f>AND(#REF!,"AAAAAE926Sc=")</f>
        <v>#REF!</v>
      </c>
      <c r="AO88" t="e">
        <f>AND(#REF!,"AAAAAE926Sg=")</f>
        <v>#REF!</v>
      </c>
      <c r="AP88" t="e">
        <f>AND(#REF!,"AAAAAE926Sk=")</f>
        <v>#REF!</v>
      </c>
      <c r="AQ88" t="e">
        <f>IF(#REF!,"AAAAAE926So=",0)</f>
        <v>#REF!</v>
      </c>
      <c r="AR88" t="e">
        <f>AND(#REF!,"AAAAAE926Ss=")</f>
        <v>#REF!</v>
      </c>
      <c r="AS88" t="e">
        <f>AND(#REF!,"AAAAAE926Sw=")</f>
        <v>#REF!</v>
      </c>
      <c r="AT88" t="e">
        <f>AND(#REF!,"AAAAAE926S0=")</f>
        <v>#REF!</v>
      </c>
      <c r="AU88" t="e">
        <f>AND(#REF!,"AAAAAE926S4=")</f>
        <v>#REF!</v>
      </c>
      <c r="AV88" t="e">
        <f>AND(#REF!,"AAAAAE926S8=")</f>
        <v>#REF!</v>
      </c>
      <c r="AW88" t="e">
        <f>AND(#REF!,"AAAAAE926TA=")</f>
        <v>#REF!</v>
      </c>
      <c r="AX88" t="e">
        <f>IF(#REF!,"AAAAAE926TE=",0)</f>
        <v>#REF!</v>
      </c>
      <c r="AY88" t="e">
        <f>AND(#REF!,"AAAAAE926TI=")</f>
        <v>#REF!</v>
      </c>
      <c r="AZ88" t="e">
        <f>AND(#REF!,"AAAAAE926TM=")</f>
        <v>#REF!</v>
      </c>
      <c r="BA88" t="e">
        <f>AND(#REF!,"AAAAAE926TQ=")</f>
        <v>#REF!</v>
      </c>
      <c r="BB88" t="e">
        <f>AND(#REF!,"AAAAAE926TU=")</f>
        <v>#REF!</v>
      </c>
      <c r="BC88" t="e">
        <f>AND(#REF!,"AAAAAE926TY=")</f>
        <v>#REF!</v>
      </c>
      <c r="BD88" t="e">
        <f>AND(#REF!,"AAAAAE926Tc=")</f>
        <v>#REF!</v>
      </c>
      <c r="BE88" t="e">
        <f>IF(#REF!,"AAAAAE926Tg=",0)</f>
        <v>#REF!</v>
      </c>
      <c r="BF88" t="e">
        <f>AND(#REF!,"AAAAAE926Tk=")</f>
        <v>#REF!</v>
      </c>
      <c r="BG88" t="e">
        <f>AND(#REF!,"AAAAAE926To=")</f>
        <v>#REF!</v>
      </c>
      <c r="BH88" t="e">
        <f>AND(#REF!,"AAAAAE926Ts=")</f>
        <v>#REF!</v>
      </c>
      <c r="BI88" t="e">
        <f>AND(#REF!,"AAAAAE926Tw=")</f>
        <v>#REF!</v>
      </c>
      <c r="BJ88" t="e">
        <f>AND(#REF!,"AAAAAE926T0=")</f>
        <v>#REF!</v>
      </c>
      <c r="BK88" t="e">
        <f>AND(#REF!,"AAAAAE926T4=")</f>
        <v>#REF!</v>
      </c>
      <c r="BL88" t="e">
        <f>IF(#REF!,"AAAAAE926T8=",0)</f>
        <v>#REF!</v>
      </c>
      <c r="BM88" t="e">
        <f>AND(#REF!,"AAAAAE926UA=")</f>
        <v>#REF!</v>
      </c>
      <c r="BN88" t="e">
        <f>AND(#REF!,"AAAAAE926UE=")</f>
        <v>#REF!</v>
      </c>
      <c r="BO88" t="e">
        <f>AND(#REF!,"AAAAAE926UI=")</f>
        <v>#REF!</v>
      </c>
      <c r="BP88" t="e">
        <f>AND(#REF!,"AAAAAE926UM=")</f>
        <v>#REF!</v>
      </c>
      <c r="BQ88" t="e">
        <f>AND(#REF!,"AAAAAE926UQ=")</f>
        <v>#REF!</v>
      </c>
      <c r="BR88" t="e">
        <f>AND(#REF!,"AAAAAE926UU=")</f>
        <v>#REF!</v>
      </c>
      <c r="BS88" t="e">
        <f>IF(#REF!,"AAAAAE926UY=",0)</f>
        <v>#REF!</v>
      </c>
      <c r="BT88" t="e">
        <f>AND(#REF!,"AAAAAE926Uc=")</f>
        <v>#REF!</v>
      </c>
      <c r="BU88" t="e">
        <f>AND(#REF!,"AAAAAE926Ug=")</f>
        <v>#REF!</v>
      </c>
      <c r="BV88" t="e">
        <f>AND(#REF!,"AAAAAE926Uk=")</f>
        <v>#REF!</v>
      </c>
      <c r="BW88" t="e">
        <f>AND(#REF!,"AAAAAE926Uo=")</f>
        <v>#REF!</v>
      </c>
      <c r="BX88" t="e">
        <f>AND(#REF!,"AAAAAE926Us=")</f>
        <v>#REF!</v>
      </c>
      <c r="BY88" t="e">
        <f>AND(#REF!,"AAAAAE926Uw=")</f>
        <v>#REF!</v>
      </c>
      <c r="BZ88" t="e">
        <f>IF(#REF!,"AAAAAE926U0=",0)</f>
        <v>#REF!</v>
      </c>
      <c r="CA88" t="e">
        <f>AND(#REF!,"AAAAAE926U4=")</f>
        <v>#REF!</v>
      </c>
      <c r="CB88" t="e">
        <f>AND(#REF!,"AAAAAE926U8=")</f>
        <v>#REF!</v>
      </c>
      <c r="CC88" t="e">
        <f>AND(#REF!,"AAAAAE926VA=")</f>
        <v>#REF!</v>
      </c>
      <c r="CD88" t="e">
        <f>AND(#REF!,"AAAAAE926VE=")</f>
        <v>#REF!</v>
      </c>
      <c r="CE88" t="e">
        <f>AND(#REF!,"AAAAAE926VI=")</f>
        <v>#REF!</v>
      </c>
      <c r="CF88" t="e">
        <f>AND(#REF!,"AAAAAE926VM=")</f>
        <v>#REF!</v>
      </c>
      <c r="CG88" t="e">
        <f>IF(#REF!,"AAAAAE926VQ=",0)</f>
        <v>#REF!</v>
      </c>
      <c r="CH88" t="e">
        <f>AND(#REF!,"AAAAAE926VU=")</f>
        <v>#REF!</v>
      </c>
      <c r="CI88" t="e">
        <f>AND(#REF!,"AAAAAE926VY=")</f>
        <v>#REF!</v>
      </c>
      <c r="CJ88" t="e">
        <f>AND(#REF!,"AAAAAE926Vc=")</f>
        <v>#REF!</v>
      </c>
      <c r="CK88" t="e">
        <f>AND(#REF!,"AAAAAE926Vg=")</f>
        <v>#REF!</v>
      </c>
      <c r="CL88" t="e">
        <f>AND(#REF!,"AAAAAE926Vk=")</f>
        <v>#REF!</v>
      </c>
      <c r="CM88" t="e">
        <f>AND(#REF!,"AAAAAE926Vo=")</f>
        <v>#REF!</v>
      </c>
      <c r="CN88" t="e">
        <f>IF(#REF!,"AAAAAE926Vs=",0)</f>
        <v>#REF!</v>
      </c>
      <c r="CO88" t="e">
        <f>AND(#REF!,"AAAAAE926Vw=")</f>
        <v>#REF!</v>
      </c>
      <c r="CP88" t="e">
        <f>AND(#REF!,"AAAAAE926V0=")</f>
        <v>#REF!</v>
      </c>
      <c r="CQ88" t="e">
        <f>AND(#REF!,"AAAAAE926V4=")</f>
        <v>#REF!</v>
      </c>
      <c r="CR88" t="e">
        <f>AND(#REF!,"AAAAAE926V8=")</f>
        <v>#REF!</v>
      </c>
      <c r="CS88" t="e">
        <f>AND(#REF!,"AAAAAE926WA=")</f>
        <v>#REF!</v>
      </c>
      <c r="CT88" t="e">
        <f>AND(#REF!,"AAAAAE926WE=")</f>
        <v>#REF!</v>
      </c>
      <c r="CU88" t="e">
        <f>IF(#REF!,"AAAAAE926WI=",0)</f>
        <v>#REF!</v>
      </c>
      <c r="CV88" t="e">
        <f>AND(#REF!,"AAAAAE926WM=")</f>
        <v>#REF!</v>
      </c>
      <c r="CW88" t="e">
        <f>AND(#REF!,"AAAAAE926WQ=")</f>
        <v>#REF!</v>
      </c>
      <c r="CX88" t="e">
        <f>AND(#REF!,"AAAAAE926WU=")</f>
        <v>#REF!</v>
      </c>
      <c r="CY88" t="e">
        <f>AND(#REF!,"AAAAAE926WY=")</f>
        <v>#REF!</v>
      </c>
      <c r="CZ88" t="e">
        <f>AND(#REF!,"AAAAAE926Wc=")</f>
        <v>#REF!</v>
      </c>
      <c r="DA88" t="e">
        <f>AND(#REF!,"AAAAAE926Wg=")</f>
        <v>#REF!</v>
      </c>
      <c r="DB88" t="e">
        <f>IF(#REF!,"AAAAAE926Wk=",0)</f>
        <v>#REF!</v>
      </c>
      <c r="DC88" t="e">
        <f>AND(#REF!,"AAAAAE926Wo=")</f>
        <v>#REF!</v>
      </c>
      <c r="DD88" t="e">
        <f>AND(#REF!,"AAAAAE926Ws=")</f>
        <v>#REF!</v>
      </c>
      <c r="DE88" t="e">
        <f>AND(#REF!,"AAAAAE926Ww=")</f>
        <v>#REF!</v>
      </c>
      <c r="DF88" t="e">
        <f>AND(#REF!,"AAAAAE926W0=")</f>
        <v>#REF!</v>
      </c>
      <c r="DG88" t="e">
        <f>AND(#REF!,"AAAAAE926W4=")</f>
        <v>#REF!</v>
      </c>
      <c r="DH88" t="e">
        <f>AND(#REF!,"AAAAAE926W8=")</f>
        <v>#REF!</v>
      </c>
      <c r="DI88" t="e">
        <f>IF(#REF!,"AAAAAE926XA=",0)</f>
        <v>#REF!</v>
      </c>
      <c r="DJ88" t="e">
        <f>AND(#REF!,"AAAAAE926XE=")</f>
        <v>#REF!</v>
      </c>
      <c r="DK88" t="e">
        <f>AND(#REF!,"AAAAAE926XI=")</f>
        <v>#REF!</v>
      </c>
      <c r="DL88" t="e">
        <f>AND(#REF!,"AAAAAE926XM=")</f>
        <v>#REF!</v>
      </c>
      <c r="DM88" t="e">
        <f>AND(#REF!,"AAAAAE926XQ=")</f>
        <v>#REF!</v>
      </c>
      <c r="DN88" t="e">
        <f>AND(#REF!,"AAAAAE926XU=")</f>
        <v>#REF!</v>
      </c>
      <c r="DO88" t="e">
        <f>AND(#REF!,"AAAAAE926XY=")</f>
        <v>#REF!</v>
      </c>
      <c r="DP88" t="e">
        <f>IF(#REF!,"AAAAAE926Xc=",0)</f>
        <v>#REF!</v>
      </c>
      <c r="DQ88" t="e">
        <f>AND(#REF!,"AAAAAE926Xg=")</f>
        <v>#REF!</v>
      </c>
      <c r="DR88" t="e">
        <f>AND(#REF!,"AAAAAE926Xk=")</f>
        <v>#REF!</v>
      </c>
      <c r="DS88" t="e">
        <f>AND(#REF!,"AAAAAE926Xo=")</f>
        <v>#REF!</v>
      </c>
      <c r="DT88" t="e">
        <f>AND(#REF!,"AAAAAE926Xs=")</f>
        <v>#REF!</v>
      </c>
      <c r="DU88" t="e">
        <f>AND(#REF!,"AAAAAE926Xw=")</f>
        <v>#REF!</v>
      </c>
      <c r="DV88" t="e">
        <f>AND(#REF!,"AAAAAE926X0=")</f>
        <v>#REF!</v>
      </c>
      <c r="DW88" t="e">
        <f>IF(#REF!,"AAAAAE926X4=",0)</f>
        <v>#REF!</v>
      </c>
      <c r="DX88" t="e">
        <f>AND(#REF!,"AAAAAE926X8=")</f>
        <v>#REF!</v>
      </c>
      <c r="DY88" t="e">
        <f>AND(#REF!,"AAAAAE926YA=")</f>
        <v>#REF!</v>
      </c>
      <c r="DZ88" t="e">
        <f>AND(#REF!,"AAAAAE926YE=")</f>
        <v>#REF!</v>
      </c>
      <c r="EA88" t="e">
        <f>AND(#REF!,"AAAAAE926YI=")</f>
        <v>#REF!</v>
      </c>
      <c r="EB88" t="e">
        <f>AND(#REF!,"AAAAAE926YM=")</f>
        <v>#REF!</v>
      </c>
      <c r="EC88" t="e">
        <f>AND(#REF!,"AAAAAE926YQ=")</f>
        <v>#REF!</v>
      </c>
      <c r="ED88" t="e">
        <f>IF(#REF!,"AAAAAE926YU=",0)</f>
        <v>#REF!</v>
      </c>
      <c r="EE88" t="e">
        <f>AND(#REF!,"AAAAAE926YY=")</f>
        <v>#REF!</v>
      </c>
      <c r="EF88" t="e">
        <f>AND(#REF!,"AAAAAE926Yc=")</f>
        <v>#REF!</v>
      </c>
      <c r="EG88" t="e">
        <f>AND(#REF!,"AAAAAE926Yg=")</f>
        <v>#REF!</v>
      </c>
      <c r="EH88" t="e">
        <f>AND(#REF!,"AAAAAE926Yk=")</f>
        <v>#REF!</v>
      </c>
      <c r="EI88" t="e">
        <f>AND(#REF!,"AAAAAE926Yo=")</f>
        <v>#REF!</v>
      </c>
      <c r="EJ88" t="e">
        <f>AND(#REF!,"AAAAAE926Ys=")</f>
        <v>#REF!</v>
      </c>
      <c r="EK88" t="e">
        <f>IF(#REF!,"AAAAAE926Yw=",0)</f>
        <v>#REF!</v>
      </c>
      <c r="EL88" t="e">
        <f>AND(#REF!,"AAAAAE926Y0=")</f>
        <v>#REF!</v>
      </c>
      <c r="EM88" t="e">
        <f>AND(#REF!,"AAAAAE926Y4=")</f>
        <v>#REF!</v>
      </c>
      <c r="EN88" t="e">
        <f>AND(#REF!,"AAAAAE926Y8=")</f>
        <v>#REF!</v>
      </c>
      <c r="EO88" t="e">
        <f>AND(#REF!,"AAAAAE926ZA=")</f>
        <v>#REF!</v>
      </c>
      <c r="EP88" t="e">
        <f>AND(#REF!,"AAAAAE926ZE=")</f>
        <v>#REF!</v>
      </c>
      <c r="EQ88" t="e">
        <f>AND(#REF!,"AAAAAE926ZI=")</f>
        <v>#REF!</v>
      </c>
      <c r="ER88" t="e">
        <f>IF(#REF!,"AAAAAE926ZM=",0)</f>
        <v>#REF!</v>
      </c>
      <c r="ES88" t="e">
        <f>AND(#REF!,"AAAAAE926ZQ=")</f>
        <v>#REF!</v>
      </c>
      <c r="ET88" t="e">
        <f>AND(#REF!,"AAAAAE926ZU=")</f>
        <v>#REF!</v>
      </c>
      <c r="EU88" t="e">
        <f>AND(#REF!,"AAAAAE926ZY=")</f>
        <v>#REF!</v>
      </c>
      <c r="EV88" t="e">
        <f>AND(#REF!,"AAAAAE926Zc=")</f>
        <v>#REF!</v>
      </c>
      <c r="EW88" t="e">
        <f>AND(#REF!,"AAAAAE926Zg=")</f>
        <v>#REF!</v>
      </c>
      <c r="EX88" t="e">
        <f>AND(#REF!,"AAAAAE926Zk=")</f>
        <v>#REF!</v>
      </c>
      <c r="EY88" t="e">
        <f>IF(#REF!,"AAAAAE926Zo=",0)</f>
        <v>#REF!</v>
      </c>
      <c r="EZ88" t="e">
        <f>AND(#REF!,"AAAAAE926Zs=")</f>
        <v>#REF!</v>
      </c>
      <c r="FA88" t="e">
        <f>AND(#REF!,"AAAAAE926Zw=")</f>
        <v>#REF!</v>
      </c>
      <c r="FB88" t="e">
        <f>AND(#REF!,"AAAAAE926Z0=")</f>
        <v>#REF!</v>
      </c>
      <c r="FC88" t="e">
        <f>AND(#REF!,"AAAAAE926Z4=")</f>
        <v>#REF!</v>
      </c>
      <c r="FD88" t="e">
        <f>AND(#REF!,"AAAAAE926Z8=")</f>
        <v>#REF!</v>
      </c>
      <c r="FE88" t="e">
        <f>AND(#REF!,"AAAAAE926aA=")</f>
        <v>#REF!</v>
      </c>
      <c r="FF88" t="e">
        <f>IF(#REF!,"AAAAAE926aE=",0)</f>
        <v>#REF!</v>
      </c>
      <c r="FG88" t="e">
        <f>AND(#REF!,"AAAAAE926aI=")</f>
        <v>#REF!</v>
      </c>
      <c r="FH88" t="e">
        <f>AND(#REF!,"AAAAAE926aM=")</f>
        <v>#REF!</v>
      </c>
      <c r="FI88" t="e">
        <f>AND(#REF!,"AAAAAE926aQ=")</f>
        <v>#REF!</v>
      </c>
      <c r="FJ88" t="e">
        <f>AND(#REF!,"AAAAAE926aU=")</f>
        <v>#REF!</v>
      </c>
      <c r="FK88" t="e">
        <f>AND(#REF!,"AAAAAE926aY=")</f>
        <v>#REF!</v>
      </c>
      <c r="FL88" t="e">
        <f>AND(#REF!,"AAAAAE926ac=")</f>
        <v>#REF!</v>
      </c>
      <c r="FM88" t="e">
        <f>IF(#REF!,"AAAAAE926ag=",0)</f>
        <v>#REF!</v>
      </c>
      <c r="FN88" t="e">
        <f>AND(#REF!,"AAAAAE926ak=")</f>
        <v>#REF!</v>
      </c>
      <c r="FO88" t="e">
        <f>AND(#REF!,"AAAAAE926ao=")</f>
        <v>#REF!</v>
      </c>
      <c r="FP88" t="e">
        <f>AND(#REF!,"AAAAAE926as=")</f>
        <v>#REF!</v>
      </c>
      <c r="FQ88" t="e">
        <f>AND(#REF!,"AAAAAE926aw=")</f>
        <v>#REF!</v>
      </c>
      <c r="FR88" t="e">
        <f>AND(#REF!,"AAAAAE926a0=")</f>
        <v>#REF!</v>
      </c>
      <c r="FS88" t="e">
        <f>AND(#REF!,"AAAAAE926a4=")</f>
        <v>#REF!</v>
      </c>
      <c r="FT88" t="e">
        <f>IF(#REF!,"AAAAAE926a8=",0)</f>
        <v>#REF!</v>
      </c>
      <c r="FU88" t="e">
        <f>AND(#REF!,"AAAAAE926bA=")</f>
        <v>#REF!</v>
      </c>
      <c r="FV88" t="e">
        <f>AND(#REF!,"AAAAAE926bE=")</f>
        <v>#REF!</v>
      </c>
      <c r="FW88" t="e">
        <f>AND(#REF!,"AAAAAE926bI=")</f>
        <v>#REF!</v>
      </c>
      <c r="FX88" t="e">
        <f>AND(#REF!,"AAAAAE926bM=")</f>
        <v>#REF!</v>
      </c>
      <c r="FY88" t="e">
        <f>AND(#REF!,"AAAAAE926bQ=")</f>
        <v>#REF!</v>
      </c>
      <c r="FZ88" t="e">
        <f>AND(#REF!,"AAAAAE926bU=")</f>
        <v>#REF!</v>
      </c>
      <c r="GA88" t="e">
        <f>IF(#REF!,"AAAAAE926bY=",0)</f>
        <v>#REF!</v>
      </c>
      <c r="GB88" t="e">
        <f>AND(#REF!,"AAAAAE926bc=")</f>
        <v>#REF!</v>
      </c>
      <c r="GC88" t="e">
        <f>AND(#REF!,"AAAAAE926bg=")</f>
        <v>#REF!</v>
      </c>
      <c r="GD88" t="e">
        <f>AND(#REF!,"AAAAAE926bk=")</f>
        <v>#REF!</v>
      </c>
      <c r="GE88" t="e">
        <f>AND(#REF!,"AAAAAE926bo=")</f>
        <v>#REF!</v>
      </c>
      <c r="GF88" t="e">
        <f>AND(#REF!,"AAAAAE926bs=")</f>
        <v>#REF!</v>
      </c>
      <c r="GG88" t="e">
        <f>AND(#REF!,"AAAAAE926bw=")</f>
        <v>#REF!</v>
      </c>
      <c r="GH88" t="e">
        <f>IF(#REF!,"AAAAAE926b0=",0)</f>
        <v>#REF!</v>
      </c>
      <c r="GI88" t="e">
        <f>AND(#REF!,"AAAAAE926b4=")</f>
        <v>#REF!</v>
      </c>
      <c r="GJ88" t="e">
        <f>AND(#REF!,"AAAAAE926b8=")</f>
        <v>#REF!</v>
      </c>
      <c r="GK88" t="e">
        <f>AND(#REF!,"AAAAAE926cA=")</f>
        <v>#REF!</v>
      </c>
      <c r="GL88" t="e">
        <f>AND(#REF!,"AAAAAE926cE=")</f>
        <v>#REF!</v>
      </c>
      <c r="GM88" t="e">
        <f>AND(#REF!,"AAAAAE926cI=")</f>
        <v>#REF!</v>
      </c>
      <c r="GN88" t="e">
        <f>AND(#REF!,"AAAAAE926cM=")</f>
        <v>#REF!</v>
      </c>
      <c r="GO88" t="e">
        <f>IF(#REF!,"AAAAAE926cQ=",0)</f>
        <v>#REF!</v>
      </c>
      <c r="GP88" t="e">
        <f>AND(#REF!,"AAAAAE926cU=")</f>
        <v>#REF!</v>
      </c>
      <c r="GQ88" t="e">
        <f>AND(#REF!,"AAAAAE926cY=")</f>
        <v>#REF!</v>
      </c>
      <c r="GR88" t="e">
        <f>AND(#REF!,"AAAAAE926cc=")</f>
        <v>#REF!</v>
      </c>
      <c r="GS88" t="e">
        <f>AND(#REF!,"AAAAAE926cg=")</f>
        <v>#REF!</v>
      </c>
      <c r="GT88" t="e">
        <f>AND(#REF!,"AAAAAE926ck=")</f>
        <v>#REF!</v>
      </c>
      <c r="GU88" t="e">
        <f>AND(#REF!,"AAAAAE926co=")</f>
        <v>#REF!</v>
      </c>
      <c r="GV88" t="e">
        <f>IF(#REF!,"AAAAAE926cs=",0)</f>
        <v>#REF!</v>
      </c>
      <c r="GW88" t="e">
        <f>AND(#REF!,"AAAAAE926cw=")</f>
        <v>#REF!</v>
      </c>
      <c r="GX88" t="e">
        <f>AND(#REF!,"AAAAAE926c0=")</f>
        <v>#REF!</v>
      </c>
      <c r="GY88" t="e">
        <f>AND(#REF!,"AAAAAE926c4=")</f>
        <v>#REF!</v>
      </c>
      <c r="GZ88" t="e">
        <f>AND(#REF!,"AAAAAE926c8=")</f>
        <v>#REF!</v>
      </c>
      <c r="HA88" t="e">
        <f>AND(#REF!,"AAAAAE926dA=")</f>
        <v>#REF!</v>
      </c>
      <c r="HB88" t="e">
        <f>AND(#REF!,"AAAAAE926dE=")</f>
        <v>#REF!</v>
      </c>
      <c r="HC88" t="e">
        <f>IF(#REF!,"AAAAAE926dI=",0)</f>
        <v>#REF!</v>
      </c>
      <c r="HD88" t="e">
        <f>AND(#REF!,"AAAAAE926dM=")</f>
        <v>#REF!</v>
      </c>
      <c r="HE88" t="e">
        <f>AND(#REF!,"AAAAAE926dQ=")</f>
        <v>#REF!</v>
      </c>
      <c r="HF88" t="e">
        <f>AND(#REF!,"AAAAAE926dU=")</f>
        <v>#REF!</v>
      </c>
      <c r="HG88" t="e">
        <f>AND(#REF!,"AAAAAE926dY=")</f>
        <v>#REF!</v>
      </c>
      <c r="HH88" t="e">
        <f>AND(#REF!,"AAAAAE926dc=")</f>
        <v>#REF!</v>
      </c>
      <c r="HI88" t="e">
        <f>AND(#REF!,"AAAAAE926dg=")</f>
        <v>#REF!</v>
      </c>
      <c r="HJ88" t="e">
        <f>IF(#REF!,"AAAAAE926dk=",0)</f>
        <v>#REF!</v>
      </c>
      <c r="HK88" t="e">
        <f>AND(#REF!,"AAAAAE926do=")</f>
        <v>#REF!</v>
      </c>
      <c r="HL88" t="e">
        <f>AND(#REF!,"AAAAAE926ds=")</f>
        <v>#REF!</v>
      </c>
      <c r="HM88" t="e">
        <f>AND(#REF!,"AAAAAE926dw=")</f>
        <v>#REF!</v>
      </c>
      <c r="HN88" t="e">
        <f>AND(#REF!,"AAAAAE926d0=")</f>
        <v>#REF!</v>
      </c>
      <c r="HO88" t="e">
        <f>AND(#REF!,"AAAAAE926d4=")</f>
        <v>#REF!</v>
      </c>
      <c r="HP88" t="e">
        <f>AND(#REF!,"AAAAAE926d8=")</f>
        <v>#REF!</v>
      </c>
      <c r="HQ88" t="e">
        <f>IF(#REF!,"AAAAAE926eA=",0)</f>
        <v>#REF!</v>
      </c>
      <c r="HR88" t="e">
        <f>AND(#REF!,"AAAAAE926eE=")</f>
        <v>#REF!</v>
      </c>
      <c r="HS88" t="e">
        <f>AND(#REF!,"AAAAAE926eI=")</f>
        <v>#REF!</v>
      </c>
      <c r="HT88" t="e">
        <f>AND(#REF!,"AAAAAE926eM=")</f>
        <v>#REF!</v>
      </c>
      <c r="HU88" t="e">
        <f>AND(#REF!,"AAAAAE926eQ=")</f>
        <v>#REF!</v>
      </c>
      <c r="HV88" t="e">
        <f>AND(#REF!,"AAAAAE926eU=")</f>
        <v>#REF!</v>
      </c>
      <c r="HW88" t="e">
        <f>AND(#REF!,"AAAAAE926eY=")</f>
        <v>#REF!</v>
      </c>
      <c r="HX88" t="e">
        <f>IF(#REF!,"AAAAAE926ec=",0)</f>
        <v>#REF!</v>
      </c>
      <c r="HY88" t="e">
        <f>AND(#REF!,"AAAAAE926eg=")</f>
        <v>#REF!</v>
      </c>
      <c r="HZ88" t="e">
        <f>AND(#REF!,"AAAAAE926ek=")</f>
        <v>#REF!</v>
      </c>
      <c r="IA88" t="e">
        <f>AND(#REF!,"AAAAAE926eo=")</f>
        <v>#REF!</v>
      </c>
      <c r="IB88" t="e">
        <f>AND(#REF!,"AAAAAE926es=")</f>
        <v>#REF!</v>
      </c>
      <c r="IC88" t="e">
        <f>AND(#REF!,"AAAAAE926ew=")</f>
        <v>#REF!</v>
      </c>
      <c r="ID88" t="e">
        <f>AND(#REF!,"AAAAAE926e0=")</f>
        <v>#REF!</v>
      </c>
      <c r="IE88" t="e">
        <f>IF(#REF!,"AAAAAE926e4=",0)</f>
        <v>#REF!</v>
      </c>
      <c r="IF88" t="e">
        <f>AND(#REF!,"AAAAAE926e8=")</f>
        <v>#REF!</v>
      </c>
      <c r="IG88" t="e">
        <f>AND(#REF!,"AAAAAE926fA=")</f>
        <v>#REF!</v>
      </c>
      <c r="IH88" t="e">
        <f>AND(#REF!,"AAAAAE926fE=")</f>
        <v>#REF!</v>
      </c>
      <c r="II88" t="e">
        <f>AND(#REF!,"AAAAAE926fI=")</f>
        <v>#REF!</v>
      </c>
      <c r="IJ88" t="e">
        <f>AND(#REF!,"AAAAAE926fM=")</f>
        <v>#REF!</v>
      </c>
      <c r="IK88" t="e">
        <f>AND(#REF!,"AAAAAE926fQ=")</f>
        <v>#REF!</v>
      </c>
      <c r="IL88" t="e">
        <f>IF(#REF!,"AAAAAE926fU=",0)</f>
        <v>#REF!</v>
      </c>
      <c r="IM88" t="e">
        <f>AND(#REF!,"AAAAAE926fY=")</f>
        <v>#REF!</v>
      </c>
      <c r="IN88" t="e">
        <f>AND(#REF!,"AAAAAE926fc=")</f>
        <v>#REF!</v>
      </c>
      <c r="IO88" t="e">
        <f>AND(#REF!,"AAAAAE926fg=")</f>
        <v>#REF!</v>
      </c>
      <c r="IP88" t="e">
        <f>AND(#REF!,"AAAAAE926fk=")</f>
        <v>#REF!</v>
      </c>
      <c r="IQ88" t="e">
        <f>AND(#REF!,"AAAAAE926fo=")</f>
        <v>#REF!</v>
      </c>
      <c r="IR88" t="e">
        <f>AND(#REF!,"AAAAAE926fs=")</f>
        <v>#REF!</v>
      </c>
      <c r="IS88" t="e">
        <f>IF(#REF!,"AAAAAE926fw=",0)</f>
        <v>#REF!</v>
      </c>
      <c r="IT88" t="e">
        <f>AND(#REF!,"AAAAAE926f0=")</f>
        <v>#REF!</v>
      </c>
      <c r="IU88" t="e">
        <f>AND(#REF!,"AAAAAE926f4=")</f>
        <v>#REF!</v>
      </c>
      <c r="IV88" t="e">
        <f>AND(#REF!,"AAAAAE926f8=")</f>
        <v>#REF!</v>
      </c>
    </row>
    <row r="89" spans="1:256" x14ac:dyDescent="0.15">
      <c r="A89" t="e">
        <f>AND(#REF!,"AAAAAFfv8wA=")</f>
        <v>#REF!</v>
      </c>
      <c r="B89" t="e">
        <f>AND(#REF!,"AAAAAFfv8wE=")</f>
        <v>#REF!</v>
      </c>
      <c r="C89" t="e">
        <f>AND(#REF!,"AAAAAFfv8wI=")</f>
        <v>#REF!</v>
      </c>
      <c r="D89" t="e">
        <f>IF(#REF!,"AAAAAFfv8wM=",0)</f>
        <v>#REF!</v>
      </c>
      <c r="E89" t="e">
        <f>AND(#REF!,"AAAAAFfv8wQ=")</f>
        <v>#REF!</v>
      </c>
      <c r="F89" t="e">
        <f>AND(#REF!,"AAAAAFfv8wU=")</f>
        <v>#REF!</v>
      </c>
      <c r="G89" t="e">
        <f>AND(#REF!,"AAAAAFfv8wY=")</f>
        <v>#REF!</v>
      </c>
      <c r="H89" t="e">
        <f>AND(#REF!,"AAAAAFfv8wc=")</f>
        <v>#REF!</v>
      </c>
      <c r="I89" t="e">
        <f>AND(#REF!,"AAAAAFfv8wg=")</f>
        <v>#REF!</v>
      </c>
      <c r="J89" t="e">
        <f>AND(#REF!,"AAAAAFfv8wk=")</f>
        <v>#REF!</v>
      </c>
      <c r="K89" t="e">
        <f>IF(#REF!,"AAAAAFfv8wo=",0)</f>
        <v>#REF!</v>
      </c>
      <c r="L89" t="e">
        <f>AND(#REF!,"AAAAAFfv8ws=")</f>
        <v>#REF!</v>
      </c>
      <c r="M89" t="e">
        <f>AND(#REF!,"AAAAAFfv8ww=")</f>
        <v>#REF!</v>
      </c>
      <c r="N89" t="e">
        <f>AND(#REF!,"AAAAAFfv8w0=")</f>
        <v>#REF!</v>
      </c>
      <c r="O89" t="e">
        <f>AND(#REF!,"AAAAAFfv8w4=")</f>
        <v>#REF!</v>
      </c>
      <c r="P89" t="e">
        <f>AND(#REF!,"AAAAAFfv8w8=")</f>
        <v>#REF!</v>
      </c>
      <c r="Q89" t="e">
        <f>AND(#REF!,"AAAAAFfv8xA=")</f>
        <v>#REF!</v>
      </c>
      <c r="R89" t="e">
        <f>IF(#REF!,"AAAAAFfv8xE=",0)</f>
        <v>#REF!</v>
      </c>
      <c r="S89" t="e">
        <f>AND(#REF!,"AAAAAFfv8xI=")</f>
        <v>#REF!</v>
      </c>
      <c r="T89" t="e">
        <f>AND(#REF!,"AAAAAFfv8xM=")</f>
        <v>#REF!</v>
      </c>
      <c r="U89" t="e">
        <f>AND(#REF!,"AAAAAFfv8xQ=")</f>
        <v>#REF!</v>
      </c>
      <c r="V89" t="e">
        <f>AND(#REF!,"AAAAAFfv8xU=")</f>
        <v>#REF!</v>
      </c>
      <c r="W89" t="e">
        <f>AND(#REF!,"AAAAAFfv8xY=")</f>
        <v>#REF!</v>
      </c>
      <c r="X89" t="e">
        <f>AND(#REF!,"AAAAAFfv8xc=")</f>
        <v>#REF!</v>
      </c>
      <c r="Y89" t="e">
        <f>IF(#REF!,"AAAAAFfv8xg=",0)</f>
        <v>#REF!</v>
      </c>
      <c r="Z89" t="e">
        <f>AND(#REF!,"AAAAAFfv8xk=")</f>
        <v>#REF!</v>
      </c>
      <c r="AA89" t="e">
        <f>AND(#REF!,"AAAAAFfv8xo=")</f>
        <v>#REF!</v>
      </c>
      <c r="AB89" t="e">
        <f>AND(#REF!,"AAAAAFfv8xs=")</f>
        <v>#REF!</v>
      </c>
      <c r="AC89" t="e">
        <f>AND(#REF!,"AAAAAFfv8xw=")</f>
        <v>#REF!</v>
      </c>
      <c r="AD89" t="e">
        <f>AND(#REF!,"AAAAAFfv8x0=")</f>
        <v>#REF!</v>
      </c>
      <c r="AE89" t="e">
        <f>AND(#REF!,"AAAAAFfv8x4=")</f>
        <v>#REF!</v>
      </c>
      <c r="AF89" t="e">
        <f>IF(#REF!,"AAAAAFfv8x8=",0)</f>
        <v>#REF!</v>
      </c>
      <c r="AG89" t="e">
        <f>AND(#REF!,"AAAAAFfv8yA=")</f>
        <v>#REF!</v>
      </c>
      <c r="AH89" t="e">
        <f>AND(#REF!,"AAAAAFfv8yE=")</f>
        <v>#REF!</v>
      </c>
      <c r="AI89" t="e">
        <f>AND(#REF!,"AAAAAFfv8yI=")</f>
        <v>#REF!</v>
      </c>
      <c r="AJ89" t="e">
        <f>AND(#REF!,"AAAAAFfv8yM=")</f>
        <v>#REF!</v>
      </c>
      <c r="AK89" t="e">
        <f>AND(#REF!,"AAAAAFfv8yQ=")</f>
        <v>#REF!</v>
      </c>
      <c r="AL89" t="e">
        <f>AND(#REF!,"AAAAAFfv8yU=")</f>
        <v>#REF!</v>
      </c>
      <c r="AM89" t="e">
        <f>IF(#REF!,"AAAAAFfv8yY=",0)</f>
        <v>#REF!</v>
      </c>
      <c r="AN89" t="e">
        <f>AND(#REF!,"AAAAAFfv8yc=")</f>
        <v>#REF!</v>
      </c>
      <c r="AO89" t="e">
        <f>AND(#REF!,"AAAAAFfv8yg=")</f>
        <v>#REF!</v>
      </c>
      <c r="AP89" t="e">
        <f>AND(#REF!,"AAAAAFfv8yk=")</f>
        <v>#REF!</v>
      </c>
      <c r="AQ89" t="e">
        <f>AND(#REF!,"AAAAAFfv8yo=")</f>
        <v>#REF!</v>
      </c>
      <c r="AR89" t="e">
        <f>AND(#REF!,"AAAAAFfv8ys=")</f>
        <v>#REF!</v>
      </c>
      <c r="AS89" t="e">
        <f>AND(#REF!,"AAAAAFfv8yw=")</f>
        <v>#REF!</v>
      </c>
      <c r="AT89" t="e">
        <f>IF(#REF!,"AAAAAFfv8y0=",0)</f>
        <v>#REF!</v>
      </c>
      <c r="AU89" t="e">
        <f>AND(#REF!,"AAAAAFfv8y4=")</f>
        <v>#REF!</v>
      </c>
      <c r="AV89" t="e">
        <f>AND(#REF!,"AAAAAFfv8y8=")</f>
        <v>#REF!</v>
      </c>
      <c r="AW89" t="e">
        <f>AND(#REF!,"AAAAAFfv8zA=")</f>
        <v>#REF!</v>
      </c>
      <c r="AX89" t="e">
        <f>AND(#REF!,"AAAAAFfv8zE=")</f>
        <v>#REF!</v>
      </c>
      <c r="AY89" t="e">
        <f>AND(#REF!,"AAAAAFfv8zI=")</f>
        <v>#REF!</v>
      </c>
      <c r="AZ89" t="e">
        <f>AND(#REF!,"AAAAAFfv8zM=")</f>
        <v>#REF!</v>
      </c>
      <c r="BA89" t="e">
        <f>IF(#REF!,"AAAAAFfv8zQ=",0)</f>
        <v>#REF!</v>
      </c>
      <c r="BB89" t="e">
        <f>AND(#REF!,"AAAAAFfv8zU=")</f>
        <v>#REF!</v>
      </c>
      <c r="BC89" t="e">
        <f>AND(#REF!,"AAAAAFfv8zY=")</f>
        <v>#REF!</v>
      </c>
      <c r="BD89" t="e">
        <f>AND(#REF!,"AAAAAFfv8zc=")</f>
        <v>#REF!</v>
      </c>
      <c r="BE89" t="e">
        <f>AND(#REF!,"AAAAAFfv8zg=")</f>
        <v>#REF!</v>
      </c>
      <c r="BF89" t="e">
        <f>AND(#REF!,"AAAAAFfv8zk=")</f>
        <v>#REF!</v>
      </c>
      <c r="BG89" t="e">
        <f>AND(#REF!,"AAAAAFfv8zo=")</f>
        <v>#REF!</v>
      </c>
      <c r="BH89" t="e">
        <f>IF(#REF!,"AAAAAFfv8zs=",0)</f>
        <v>#REF!</v>
      </c>
      <c r="BI89" t="e">
        <f>AND(#REF!,"AAAAAFfv8zw=")</f>
        <v>#REF!</v>
      </c>
      <c r="BJ89" t="e">
        <f>AND(#REF!,"AAAAAFfv8z0=")</f>
        <v>#REF!</v>
      </c>
      <c r="BK89" t="e">
        <f>AND(#REF!,"AAAAAFfv8z4=")</f>
        <v>#REF!</v>
      </c>
      <c r="BL89" t="e">
        <f>AND(#REF!,"AAAAAFfv8z8=")</f>
        <v>#REF!</v>
      </c>
      <c r="BM89" t="e">
        <f>AND(#REF!,"AAAAAFfv80A=")</f>
        <v>#REF!</v>
      </c>
      <c r="BN89" t="e">
        <f>AND(#REF!,"AAAAAFfv80E=")</f>
        <v>#REF!</v>
      </c>
      <c r="BO89" t="e">
        <f>IF(#REF!,"AAAAAFfv80I=",0)</f>
        <v>#REF!</v>
      </c>
      <c r="BP89" t="e">
        <f>AND(#REF!,"AAAAAFfv80M=")</f>
        <v>#REF!</v>
      </c>
      <c r="BQ89" t="e">
        <f>AND(#REF!,"AAAAAFfv80Q=")</f>
        <v>#REF!</v>
      </c>
      <c r="BR89" t="e">
        <f>AND(#REF!,"AAAAAFfv80U=")</f>
        <v>#REF!</v>
      </c>
      <c r="BS89" t="e">
        <f>AND(#REF!,"AAAAAFfv80Y=")</f>
        <v>#REF!</v>
      </c>
      <c r="BT89" t="e">
        <f>AND(#REF!,"AAAAAFfv80c=")</f>
        <v>#REF!</v>
      </c>
      <c r="BU89" t="e">
        <f>AND(#REF!,"AAAAAFfv80g=")</f>
        <v>#REF!</v>
      </c>
      <c r="BV89" t="e">
        <f>IF(#REF!,"AAAAAFfv80k=",0)</f>
        <v>#REF!</v>
      </c>
      <c r="BW89" t="e">
        <f>AND(#REF!,"AAAAAFfv80o=")</f>
        <v>#REF!</v>
      </c>
      <c r="BX89" t="e">
        <f>AND(#REF!,"AAAAAFfv80s=")</f>
        <v>#REF!</v>
      </c>
      <c r="BY89" t="e">
        <f>AND(#REF!,"AAAAAFfv80w=")</f>
        <v>#REF!</v>
      </c>
      <c r="BZ89" t="e">
        <f>AND(#REF!,"AAAAAFfv800=")</f>
        <v>#REF!</v>
      </c>
      <c r="CA89" t="e">
        <f>AND(#REF!,"AAAAAFfv804=")</f>
        <v>#REF!</v>
      </c>
      <c r="CB89" t="e">
        <f>AND(#REF!,"AAAAAFfv808=")</f>
        <v>#REF!</v>
      </c>
      <c r="CC89" t="e">
        <f>IF(#REF!,"AAAAAFfv81A=",0)</f>
        <v>#REF!</v>
      </c>
      <c r="CD89" t="e">
        <f>AND(#REF!,"AAAAAFfv81E=")</f>
        <v>#REF!</v>
      </c>
      <c r="CE89" t="e">
        <f>AND(#REF!,"AAAAAFfv81I=")</f>
        <v>#REF!</v>
      </c>
      <c r="CF89" t="e">
        <f>AND(#REF!,"AAAAAFfv81M=")</f>
        <v>#REF!</v>
      </c>
      <c r="CG89" t="e">
        <f>AND(#REF!,"AAAAAFfv81Q=")</f>
        <v>#REF!</v>
      </c>
      <c r="CH89" t="e">
        <f>AND(#REF!,"AAAAAFfv81U=")</f>
        <v>#REF!</v>
      </c>
      <c r="CI89" t="e">
        <f>AND(#REF!,"AAAAAFfv81Y=")</f>
        <v>#REF!</v>
      </c>
      <c r="CJ89" t="e">
        <f>IF(#REF!,"AAAAAFfv81c=",0)</f>
        <v>#REF!</v>
      </c>
      <c r="CK89" t="e">
        <f>AND(#REF!,"AAAAAFfv81g=")</f>
        <v>#REF!</v>
      </c>
      <c r="CL89" t="e">
        <f>AND(#REF!,"AAAAAFfv81k=")</f>
        <v>#REF!</v>
      </c>
      <c r="CM89" t="e">
        <f>AND(#REF!,"AAAAAFfv81o=")</f>
        <v>#REF!</v>
      </c>
      <c r="CN89" t="e">
        <f>AND(#REF!,"AAAAAFfv81s=")</f>
        <v>#REF!</v>
      </c>
      <c r="CO89" t="e">
        <f>AND(#REF!,"AAAAAFfv81w=")</f>
        <v>#REF!</v>
      </c>
      <c r="CP89" t="e">
        <f>AND(#REF!,"AAAAAFfv810=")</f>
        <v>#REF!</v>
      </c>
      <c r="CQ89" t="e">
        <f>IF(#REF!,"AAAAAFfv814=",0)</f>
        <v>#REF!</v>
      </c>
      <c r="CR89" t="e">
        <f>AND(#REF!,"AAAAAFfv818=")</f>
        <v>#REF!</v>
      </c>
      <c r="CS89" t="e">
        <f>AND(#REF!,"AAAAAFfv82A=")</f>
        <v>#REF!</v>
      </c>
      <c r="CT89" t="e">
        <f>AND(#REF!,"AAAAAFfv82E=")</f>
        <v>#REF!</v>
      </c>
      <c r="CU89" t="e">
        <f>AND(#REF!,"AAAAAFfv82I=")</f>
        <v>#REF!</v>
      </c>
      <c r="CV89" t="e">
        <f>AND(#REF!,"AAAAAFfv82M=")</f>
        <v>#REF!</v>
      </c>
      <c r="CW89" t="e">
        <f>AND(#REF!,"AAAAAFfv82Q=")</f>
        <v>#REF!</v>
      </c>
      <c r="CX89" t="e">
        <f>IF(#REF!,"AAAAAFfv82U=",0)</f>
        <v>#REF!</v>
      </c>
      <c r="CY89" t="e">
        <f>AND(#REF!,"AAAAAFfv82Y=")</f>
        <v>#REF!</v>
      </c>
      <c r="CZ89" t="e">
        <f>AND(#REF!,"AAAAAFfv82c=")</f>
        <v>#REF!</v>
      </c>
      <c r="DA89" t="e">
        <f>AND(#REF!,"AAAAAFfv82g=")</f>
        <v>#REF!</v>
      </c>
      <c r="DB89" t="e">
        <f>AND(#REF!,"AAAAAFfv82k=")</f>
        <v>#REF!</v>
      </c>
      <c r="DC89" t="e">
        <f>AND(#REF!,"AAAAAFfv82o=")</f>
        <v>#REF!</v>
      </c>
      <c r="DD89" t="e">
        <f>AND(#REF!,"AAAAAFfv82s=")</f>
        <v>#REF!</v>
      </c>
      <c r="DE89" t="e">
        <f>IF(#REF!,"AAAAAFfv82w=",0)</f>
        <v>#REF!</v>
      </c>
      <c r="DF89" t="e">
        <f>AND(#REF!,"AAAAAFfv820=")</f>
        <v>#REF!</v>
      </c>
      <c r="DG89" t="e">
        <f>AND(#REF!,"AAAAAFfv824=")</f>
        <v>#REF!</v>
      </c>
      <c r="DH89" t="e">
        <f>AND(#REF!,"AAAAAFfv828=")</f>
        <v>#REF!</v>
      </c>
      <c r="DI89" t="e">
        <f>AND(#REF!,"AAAAAFfv83A=")</f>
        <v>#REF!</v>
      </c>
      <c r="DJ89" t="e">
        <f>AND(#REF!,"AAAAAFfv83E=")</f>
        <v>#REF!</v>
      </c>
      <c r="DK89" t="e">
        <f>AND(#REF!,"AAAAAFfv83I=")</f>
        <v>#REF!</v>
      </c>
      <c r="DL89" t="e">
        <f>IF(#REF!,"AAAAAFfv83M=",0)</f>
        <v>#REF!</v>
      </c>
      <c r="DM89" t="e">
        <f>AND(#REF!,"AAAAAFfv83Q=")</f>
        <v>#REF!</v>
      </c>
      <c r="DN89" t="e">
        <f>AND(#REF!,"AAAAAFfv83U=")</f>
        <v>#REF!</v>
      </c>
      <c r="DO89" t="e">
        <f>AND(#REF!,"AAAAAFfv83Y=")</f>
        <v>#REF!</v>
      </c>
      <c r="DP89" t="e">
        <f>AND(#REF!,"AAAAAFfv83c=")</f>
        <v>#REF!</v>
      </c>
      <c r="DQ89" t="e">
        <f>AND(#REF!,"AAAAAFfv83g=")</f>
        <v>#REF!</v>
      </c>
      <c r="DR89" t="e">
        <f>AND(#REF!,"AAAAAFfv83k=")</f>
        <v>#REF!</v>
      </c>
      <c r="DS89" t="e">
        <f>IF(#REF!,"AAAAAFfv83o=",0)</f>
        <v>#REF!</v>
      </c>
      <c r="DT89" t="e">
        <f>AND(#REF!,"AAAAAFfv83s=")</f>
        <v>#REF!</v>
      </c>
      <c r="DU89" t="e">
        <f>AND(#REF!,"AAAAAFfv83w=")</f>
        <v>#REF!</v>
      </c>
      <c r="DV89" t="e">
        <f>AND(#REF!,"AAAAAFfv830=")</f>
        <v>#REF!</v>
      </c>
      <c r="DW89" t="e">
        <f>AND(#REF!,"AAAAAFfv834=")</f>
        <v>#REF!</v>
      </c>
      <c r="DX89" t="e">
        <f>AND(#REF!,"AAAAAFfv838=")</f>
        <v>#REF!</v>
      </c>
      <c r="DY89" t="e">
        <f>AND(#REF!,"AAAAAFfv84A=")</f>
        <v>#REF!</v>
      </c>
      <c r="DZ89" t="e">
        <f>IF(#REF!,"AAAAAFfv84E=",0)</f>
        <v>#REF!</v>
      </c>
      <c r="EA89" t="e">
        <f>AND(#REF!,"AAAAAFfv84I=")</f>
        <v>#REF!</v>
      </c>
      <c r="EB89" t="e">
        <f>AND(#REF!,"AAAAAFfv84M=")</f>
        <v>#REF!</v>
      </c>
      <c r="EC89" t="e">
        <f>AND(#REF!,"AAAAAFfv84Q=")</f>
        <v>#REF!</v>
      </c>
      <c r="ED89" t="e">
        <f>AND(#REF!,"AAAAAFfv84U=")</f>
        <v>#REF!</v>
      </c>
      <c r="EE89" t="e">
        <f>AND(#REF!,"AAAAAFfv84Y=")</f>
        <v>#REF!</v>
      </c>
      <c r="EF89" t="e">
        <f>AND(#REF!,"AAAAAFfv84c=")</f>
        <v>#REF!</v>
      </c>
      <c r="EG89" t="e">
        <f>IF(#REF!,"AAAAAFfv84g=",0)</f>
        <v>#REF!</v>
      </c>
      <c r="EH89" t="e">
        <f>AND(#REF!,"AAAAAFfv84k=")</f>
        <v>#REF!</v>
      </c>
      <c r="EI89" t="e">
        <f>AND(#REF!,"AAAAAFfv84o=")</f>
        <v>#REF!</v>
      </c>
      <c r="EJ89" t="e">
        <f>AND(#REF!,"AAAAAFfv84s=")</f>
        <v>#REF!</v>
      </c>
      <c r="EK89" t="e">
        <f>AND(#REF!,"AAAAAFfv84w=")</f>
        <v>#REF!</v>
      </c>
      <c r="EL89" t="e">
        <f>AND(#REF!,"AAAAAFfv840=")</f>
        <v>#REF!</v>
      </c>
      <c r="EM89" t="e">
        <f>AND(#REF!,"AAAAAFfv844=")</f>
        <v>#REF!</v>
      </c>
      <c r="EN89" t="e">
        <f>IF(#REF!,"AAAAAFfv848=",0)</f>
        <v>#REF!</v>
      </c>
      <c r="EO89" t="e">
        <f>AND(#REF!,"AAAAAFfv85A=")</f>
        <v>#REF!</v>
      </c>
      <c r="EP89" t="e">
        <f>AND(#REF!,"AAAAAFfv85E=")</f>
        <v>#REF!</v>
      </c>
      <c r="EQ89" t="e">
        <f>AND(#REF!,"AAAAAFfv85I=")</f>
        <v>#REF!</v>
      </c>
      <c r="ER89" t="e">
        <f>AND(#REF!,"AAAAAFfv85M=")</f>
        <v>#REF!</v>
      </c>
      <c r="ES89" t="e">
        <f>AND(#REF!,"AAAAAFfv85Q=")</f>
        <v>#REF!</v>
      </c>
      <c r="ET89" t="e">
        <f>AND(#REF!,"AAAAAFfv85U=")</f>
        <v>#REF!</v>
      </c>
      <c r="EU89" t="e">
        <f>IF(#REF!,"AAAAAFfv85Y=",0)</f>
        <v>#REF!</v>
      </c>
      <c r="EV89" t="e">
        <f>AND(#REF!,"AAAAAFfv85c=")</f>
        <v>#REF!</v>
      </c>
      <c r="EW89" t="e">
        <f>AND(#REF!,"AAAAAFfv85g=")</f>
        <v>#REF!</v>
      </c>
      <c r="EX89" t="e">
        <f>AND(#REF!,"AAAAAFfv85k=")</f>
        <v>#REF!</v>
      </c>
      <c r="EY89" t="e">
        <f>AND(#REF!,"AAAAAFfv85o=")</f>
        <v>#REF!</v>
      </c>
      <c r="EZ89" t="e">
        <f>AND(#REF!,"AAAAAFfv85s=")</f>
        <v>#REF!</v>
      </c>
      <c r="FA89" t="e">
        <f>AND(#REF!,"AAAAAFfv85w=")</f>
        <v>#REF!</v>
      </c>
      <c r="FB89" t="e">
        <f>IF(#REF!,"AAAAAFfv850=",0)</f>
        <v>#REF!</v>
      </c>
      <c r="FC89" t="e">
        <f>AND(#REF!,"AAAAAFfv854=")</f>
        <v>#REF!</v>
      </c>
      <c r="FD89" t="e">
        <f>AND(#REF!,"AAAAAFfv858=")</f>
        <v>#REF!</v>
      </c>
      <c r="FE89" t="e">
        <f>AND(#REF!,"AAAAAFfv86A=")</f>
        <v>#REF!</v>
      </c>
      <c r="FF89" t="e">
        <f>AND(#REF!,"AAAAAFfv86E=")</f>
        <v>#REF!</v>
      </c>
      <c r="FG89" t="e">
        <f>AND(#REF!,"AAAAAFfv86I=")</f>
        <v>#REF!</v>
      </c>
      <c r="FH89" t="e">
        <f>AND(#REF!,"AAAAAFfv86M=")</f>
        <v>#REF!</v>
      </c>
      <c r="FI89" t="e">
        <f>IF(#REF!,"AAAAAFfv86Q=",0)</f>
        <v>#REF!</v>
      </c>
      <c r="FJ89" t="e">
        <f>AND(#REF!,"AAAAAFfv86U=")</f>
        <v>#REF!</v>
      </c>
      <c r="FK89" t="e">
        <f>AND(#REF!,"AAAAAFfv86Y=")</f>
        <v>#REF!</v>
      </c>
      <c r="FL89" t="e">
        <f>AND(#REF!,"AAAAAFfv86c=")</f>
        <v>#REF!</v>
      </c>
      <c r="FM89" t="e">
        <f>AND(#REF!,"AAAAAFfv86g=")</f>
        <v>#REF!</v>
      </c>
      <c r="FN89" t="e">
        <f>AND(#REF!,"AAAAAFfv86k=")</f>
        <v>#REF!</v>
      </c>
      <c r="FO89" t="e">
        <f>AND(#REF!,"AAAAAFfv86o=")</f>
        <v>#REF!</v>
      </c>
      <c r="FP89" t="e">
        <f>IF(#REF!,"AAAAAFfv86s=",0)</f>
        <v>#REF!</v>
      </c>
      <c r="FQ89" t="e">
        <f>AND(#REF!,"AAAAAFfv86w=")</f>
        <v>#REF!</v>
      </c>
      <c r="FR89" t="e">
        <f>AND(#REF!,"AAAAAFfv860=")</f>
        <v>#REF!</v>
      </c>
      <c r="FS89" t="e">
        <f>AND(#REF!,"AAAAAFfv864=")</f>
        <v>#REF!</v>
      </c>
      <c r="FT89" t="e">
        <f>AND(#REF!,"AAAAAFfv868=")</f>
        <v>#REF!</v>
      </c>
      <c r="FU89" t="e">
        <f>AND(#REF!,"AAAAAFfv87A=")</f>
        <v>#REF!</v>
      </c>
      <c r="FV89" t="e">
        <f>AND(#REF!,"AAAAAFfv87E=")</f>
        <v>#REF!</v>
      </c>
      <c r="FW89" t="e">
        <f>IF(#REF!,"AAAAAFfv87I=",0)</f>
        <v>#REF!</v>
      </c>
      <c r="FX89" t="e">
        <f>AND(#REF!,"AAAAAFfv87M=")</f>
        <v>#REF!</v>
      </c>
      <c r="FY89" t="e">
        <f>AND(#REF!,"AAAAAFfv87Q=")</f>
        <v>#REF!</v>
      </c>
      <c r="FZ89" t="e">
        <f>AND(#REF!,"AAAAAFfv87U=")</f>
        <v>#REF!</v>
      </c>
      <c r="GA89" t="e">
        <f>AND(#REF!,"AAAAAFfv87Y=")</f>
        <v>#REF!</v>
      </c>
      <c r="GB89" t="e">
        <f>AND(#REF!,"AAAAAFfv87c=")</f>
        <v>#REF!</v>
      </c>
      <c r="GC89" t="e">
        <f>AND(#REF!,"AAAAAFfv87g=")</f>
        <v>#REF!</v>
      </c>
      <c r="GD89" t="e">
        <f>IF(#REF!,"AAAAAFfv87k=",0)</f>
        <v>#REF!</v>
      </c>
      <c r="GE89" t="e">
        <f>AND(#REF!,"AAAAAFfv87o=")</f>
        <v>#REF!</v>
      </c>
      <c r="GF89" t="e">
        <f>AND(#REF!,"AAAAAFfv87s=")</f>
        <v>#REF!</v>
      </c>
      <c r="GG89" t="e">
        <f>AND(#REF!,"AAAAAFfv87w=")</f>
        <v>#REF!</v>
      </c>
      <c r="GH89" t="e">
        <f>AND(#REF!,"AAAAAFfv870=")</f>
        <v>#REF!</v>
      </c>
      <c r="GI89" t="e">
        <f>AND(#REF!,"AAAAAFfv874=")</f>
        <v>#REF!</v>
      </c>
      <c r="GJ89" t="e">
        <f>AND(#REF!,"AAAAAFfv878=")</f>
        <v>#REF!</v>
      </c>
      <c r="GK89" t="e">
        <f>IF(#REF!,"AAAAAFfv88A=",0)</f>
        <v>#REF!</v>
      </c>
      <c r="GL89" t="e">
        <f>AND(#REF!,"AAAAAFfv88E=")</f>
        <v>#REF!</v>
      </c>
      <c r="GM89" t="e">
        <f>AND(#REF!,"AAAAAFfv88I=")</f>
        <v>#REF!</v>
      </c>
      <c r="GN89" t="e">
        <f>AND(#REF!,"AAAAAFfv88M=")</f>
        <v>#REF!</v>
      </c>
      <c r="GO89" t="e">
        <f>AND(#REF!,"AAAAAFfv88Q=")</f>
        <v>#REF!</v>
      </c>
      <c r="GP89" t="e">
        <f>AND(#REF!,"AAAAAFfv88U=")</f>
        <v>#REF!</v>
      </c>
      <c r="GQ89" t="e">
        <f>AND(#REF!,"AAAAAFfv88Y=")</f>
        <v>#REF!</v>
      </c>
      <c r="GR89" t="e">
        <f>IF(#REF!,"AAAAAFfv88c=",0)</f>
        <v>#REF!</v>
      </c>
      <c r="GS89" t="e">
        <f>AND(#REF!,"AAAAAFfv88g=")</f>
        <v>#REF!</v>
      </c>
      <c r="GT89" t="e">
        <f>AND(#REF!,"AAAAAFfv88k=")</f>
        <v>#REF!</v>
      </c>
      <c r="GU89" t="e">
        <f>AND(#REF!,"AAAAAFfv88o=")</f>
        <v>#REF!</v>
      </c>
      <c r="GV89" t="e">
        <f>AND(#REF!,"AAAAAFfv88s=")</f>
        <v>#REF!</v>
      </c>
      <c r="GW89" t="e">
        <f>AND(#REF!,"AAAAAFfv88w=")</f>
        <v>#REF!</v>
      </c>
      <c r="GX89" t="e">
        <f>AND(#REF!,"AAAAAFfv880=")</f>
        <v>#REF!</v>
      </c>
      <c r="GY89" t="e">
        <f>IF(#REF!,"AAAAAFfv884=",0)</f>
        <v>#REF!</v>
      </c>
      <c r="GZ89" t="e">
        <f>AND(#REF!,"AAAAAFfv888=")</f>
        <v>#REF!</v>
      </c>
      <c r="HA89" t="e">
        <f>AND(#REF!,"AAAAAFfv89A=")</f>
        <v>#REF!</v>
      </c>
      <c r="HB89" t="e">
        <f>AND(#REF!,"AAAAAFfv89E=")</f>
        <v>#REF!</v>
      </c>
      <c r="HC89" t="e">
        <f>AND(#REF!,"AAAAAFfv89I=")</f>
        <v>#REF!</v>
      </c>
      <c r="HD89" t="e">
        <f>AND(#REF!,"AAAAAFfv89M=")</f>
        <v>#REF!</v>
      </c>
      <c r="HE89" t="e">
        <f>AND(#REF!,"AAAAAFfv89Q=")</f>
        <v>#REF!</v>
      </c>
      <c r="HF89" t="e">
        <f>IF(#REF!,"AAAAAFfv89U=",0)</f>
        <v>#REF!</v>
      </c>
      <c r="HG89" t="e">
        <f>AND(#REF!,"AAAAAFfv89Y=")</f>
        <v>#REF!</v>
      </c>
      <c r="HH89" t="e">
        <f>AND(#REF!,"AAAAAFfv89c=")</f>
        <v>#REF!</v>
      </c>
      <c r="HI89" t="e">
        <f>AND(#REF!,"AAAAAFfv89g=")</f>
        <v>#REF!</v>
      </c>
      <c r="HJ89" t="e">
        <f>AND(#REF!,"AAAAAFfv89k=")</f>
        <v>#REF!</v>
      </c>
      <c r="HK89" t="e">
        <f>AND(#REF!,"AAAAAFfv89o=")</f>
        <v>#REF!</v>
      </c>
      <c r="HL89" t="e">
        <f>AND(#REF!,"AAAAAFfv89s=")</f>
        <v>#REF!</v>
      </c>
      <c r="HM89" t="e">
        <f>IF(#REF!,"AAAAAFfv89w=",0)</f>
        <v>#REF!</v>
      </c>
      <c r="HN89" t="e">
        <f>AND(#REF!,"AAAAAFfv890=")</f>
        <v>#REF!</v>
      </c>
      <c r="HO89" t="e">
        <f>AND(#REF!,"AAAAAFfv894=")</f>
        <v>#REF!</v>
      </c>
      <c r="HP89" t="e">
        <f>AND(#REF!,"AAAAAFfv898=")</f>
        <v>#REF!</v>
      </c>
      <c r="HQ89" t="e">
        <f>AND(#REF!,"AAAAAFfv8+A=")</f>
        <v>#REF!</v>
      </c>
      <c r="HR89" t="e">
        <f>AND(#REF!,"AAAAAFfv8+E=")</f>
        <v>#REF!</v>
      </c>
      <c r="HS89" t="e">
        <f>AND(#REF!,"AAAAAFfv8+I=")</f>
        <v>#REF!</v>
      </c>
      <c r="HT89" t="e">
        <f>IF(#REF!,"AAAAAFfv8+M=",0)</f>
        <v>#REF!</v>
      </c>
      <c r="HU89" t="e">
        <f>AND(#REF!,"AAAAAFfv8+Q=")</f>
        <v>#REF!</v>
      </c>
      <c r="HV89" t="e">
        <f>AND(#REF!,"AAAAAFfv8+U=")</f>
        <v>#REF!</v>
      </c>
      <c r="HW89" t="e">
        <f>AND(#REF!,"AAAAAFfv8+Y=")</f>
        <v>#REF!</v>
      </c>
      <c r="HX89" t="e">
        <f>AND(#REF!,"AAAAAFfv8+c=")</f>
        <v>#REF!</v>
      </c>
      <c r="HY89" t="e">
        <f>AND(#REF!,"AAAAAFfv8+g=")</f>
        <v>#REF!</v>
      </c>
      <c r="HZ89" t="e">
        <f>AND(#REF!,"AAAAAFfv8+k=")</f>
        <v>#REF!</v>
      </c>
      <c r="IA89" t="e">
        <f>IF(#REF!,"AAAAAFfv8+o=",0)</f>
        <v>#REF!</v>
      </c>
      <c r="IB89" t="e">
        <f>AND(#REF!,"AAAAAFfv8+s=")</f>
        <v>#REF!</v>
      </c>
      <c r="IC89" t="e">
        <f>AND(#REF!,"AAAAAFfv8+w=")</f>
        <v>#REF!</v>
      </c>
      <c r="ID89" t="e">
        <f>AND(#REF!,"AAAAAFfv8+0=")</f>
        <v>#REF!</v>
      </c>
      <c r="IE89" t="e">
        <f>AND(#REF!,"AAAAAFfv8+4=")</f>
        <v>#REF!</v>
      </c>
      <c r="IF89" t="e">
        <f>AND(#REF!,"AAAAAFfv8+8=")</f>
        <v>#REF!</v>
      </c>
      <c r="IG89" t="e">
        <f>AND(#REF!,"AAAAAFfv8/A=")</f>
        <v>#REF!</v>
      </c>
      <c r="IH89" t="e">
        <f>IF(#REF!,"AAAAAFfv8/E=",0)</f>
        <v>#REF!</v>
      </c>
      <c r="II89" t="e">
        <f>AND(#REF!,"AAAAAFfv8/I=")</f>
        <v>#REF!</v>
      </c>
      <c r="IJ89" t="e">
        <f>AND(#REF!,"AAAAAFfv8/M=")</f>
        <v>#REF!</v>
      </c>
      <c r="IK89" t="e">
        <f>AND(#REF!,"AAAAAFfv8/Q=")</f>
        <v>#REF!</v>
      </c>
      <c r="IL89" t="e">
        <f>AND(#REF!,"AAAAAFfv8/U=")</f>
        <v>#REF!</v>
      </c>
      <c r="IM89" t="e">
        <f>AND(#REF!,"AAAAAFfv8/Y=")</f>
        <v>#REF!</v>
      </c>
      <c r="IN89" t="e">
        <f>AND(#REF!,"AAAAAFfv8/c=")</f>
        <v>#REF!</v>
      </c>
      <c r="IO89" t="e">
        <f>IF(#REF!,"AAAAAFfv8/g=",0)</f>
        <v>#REF!</v>
      </c>
      <c r="IP89" t="e">
        <f>AND(#REF!,"AAAAAFfv8/k=")</f>
        <v>#REF!</v>
      </c>
      <c r="IQ89" t="e">
        <f>AND(#REF!,"AAAAAFfv8/o=")</f>
        <v>#REF!</v>
      </c>
      <c r="IR89" t="e">
        <f>AND(#REF!,"AAAAAFfv8/s=")</f>
        <v>#REF!</v>
      </c>
      <c r="IS89" t="e">
        <f>AND(#REF!,"AAAAAFfv8/w=")</f>
        <v>#REF!</v>
      </c>
      <c r="IT89" t="e">
        <f>AND(#REF!,"AAAAAFfv8/0=")</f>
        <v>#REF!</v>
      </c>
      <c r="IU89" t="e">
        <f>AND(#REF!,"AAAAAFfv8/4=")</f>
        <v>#REF!</v>
      </c>
      <c r="IV89" t="e">
        <f>IF(#REF!,"AAAAAFfv8/8=",0)</f>
        <v>#REF!</v>
      </c>
    </row>
    <row r="90" spans="1:256" x14ac:dyDescent="0.15">
      <c r="A90" t="e">
        <f>AND(#REF!,"AAAAAH/+dwA=")</f>
        <v>#REF!</v>
      </c>
      <c r="B90" t="e">
        <f>AND(#REF!,"AAAAAH/+dwE=")</f>
        <v>#REF!</v>
      </c>
      <c r="C90" t="e">
        <f>AND(#REF!,"AAAAAH/+dwI=")</f>
        <v>#REF!</v>
      </c>
      <c r="D90" t="e">
        <f>AND(#REF!,"AAAAAH/+dwM=")</f>
        <v>#REF!</v>
      </c>
      <c r="E90" t="e">
        <f>AND(#REF!,"AAAAAH/+dwQ=")</f>
        <v>#REF!</v>
      </c>
      <c r="F90" t="e">
        <f>AND(#REF!,"AAAAAH/+dwU=")</f>
        <v>#REF!</v>
      </c>
      <c r="G90" t="e">
        <f>IF(#REF!,"AAAAAH/+dwY=",0)</f>
        <v>#REF!</v>
      </c>
      <c r="H90" t="e">
        <f>AND(#REF!,"AAAAAH/+dwc=")</f>
        <v>#REF!</v>
      </c>
      <c r="I90" t="e">
        <f>AND(#REF!,"AAAAAH/+dwg=")</f>
        <v>#REF!</v>
      </c>
      <c r="J90" t="e">
        <f>AND(#REF!,"AAAAAH/+dwk=")</f>
        <v>#REF!</v>
      </c>
      <c r="K90" t="e">
        <f>AND(#REF!,"AAAAAH/+dwo=")</f>
        <v>#REF!</v>
      </c>
      <c r="L90" t="e">
        <f>AND(#REF!,"AAAAAH/+dws=")</f>
        <v>#REF!</v>
      </c>
      <c r="M90" t="e">
        <f>AND(#REF!,"AAAAAH/+dww=")</f>
        <v>#REF!</v>
      </c>
      <c r="N90" t="e">
        <f>IF(#REF!,"AAAAAH/+dw0=",0)</f>
        <v>#REF!</v>
      </c>
      <c r="O90" t="e">
        <f>AND(#REF!,"AAAAAH/+dw4=")</f>
        <v>#REF!</v>
      </c>
      <c r="P90" t="e">
        <f>AND(#REF!,"AAAAAH/+dw8=")</f>
        <v>#REF!</v>
      </c>
      <c r="Q90" t="e">
        <f>AND(#REF!,"AAAAAH/+dxA=")</f>
        <v>#REF!</v>
      </c>
      <c r="R90" t="e">
        <f>AND(#REF!,"AAAAAH/+dxE=")</f>
        <v>#REF!</v>
      </c>
      <c r="S90" t="e">
        <f>AND(#REF!,"AAAAAH/+dxI=")</f>
        <v>#REF!</v>
      </c>
      <c r="T90" t="e">
        <f>AND(#REF!,"AAAAAH/+dxM=")</f>
        <v>#REF!</v>
      </c>
      <c r="U90" t="e">
        <f>IF(#REF!,"AAAAAH/+dxQ=",0)</f>
        <v>#REF!</v>
      </c>
      <c r="V90" t="e">
        <f>AND(#REF!,"AAAAAH/+dxU=")</f>
        <v>#REF!</v>
      </c>
      <c r="W90" t="e">
        <f>AND(#REF!,"AAAAAH/+dxY=")</f>
        <v>#REF!</v>
      </c>
      <c r="X90" t="e">
        <f>AND(#REF!,"AAAAAH/+dxc=")</f>
        <v>#REF!</v>
      </c>
      <c r="Y90" t="e">
        <f>AND(#REF!,"AAAAAH/+dxg=")</f>
        <v>#REF!</v>
      </c>
      <c r="Z90" t="e">
        <f>AND(#REF!,"AAAAAH/+dxk=")</f>
        <v>#REF!</v>
      </c>
      <c r="AA90" t="e">
        <f>AND(#REF!,"AAAAAH/+dxo=")</f>
        <v>#REF!</v>
      </c>
      <c r="AB90" t="e">
        <f>IF(#REF!,"AAAAAH/+dxs=",0)</f>
        <v>#REF!</v>
      </c>
      <c r="AC90" t="e">
        <f>AND(#REF!,"AAAAAH/+dxw=")</f>
        <v>#REF!</v>
      </c>
      <c r="AD90" t="e">
        <f>AND(#REF!,"AAAAAH/+dx0=")</f>
        <v>#REF!</v>
      </c>
      <c r="AE90" t="e">
        <f>AND(#REF!,"AAAAAH/+dx4=")</f>
        <v>#REF!</v>
      </c>
      <c r="AF90" t="e">
        <f>AND(#REF!,"AAAAAH/+dx8=")</f>
        <v>#REF!</v>
      </c>
      <c r="AG90" t="e">
        <f>AND(#REF!,"AAAAAH/+dyA=")</f>
        <v>#REF!</v>
      </c>
      <c r="AH90" t="e">
        <f>AND(#REF!,"AAAAAH/+dyE=")</f>
        <v>#REF!</v>
      </c>
      <c r="AI90" t="e">
        <f>IF(#REF!,"AAAAAH/+dyI=",0)</f>
        <v>#REF!</v>
      </c>
      <c r="AJ90" t="e">
        <f>AND(#REF!,"AAAAAH/+dyM=")</f>
        <v>#REF!</v>
      </c>
      <c r="AK90" t="e">
        <f>AND(#REF!,"AAAAAH/+dyQ=")</f>
        <v>#REF!</v>
      </c>
      <c r="AL90" t="e">
        <f>AND(#REF!,"AAAAAH/+dyU=")</f>
        <v>#REF!</v>
      </c>
      <c r="AM90" t="e">
        <f>AND(#REF!,"AAAAAH/+dyY=")</f>
        <v>#REF!</v>
      </c>
      <c r="AN90" t="e">
        <f>AND(#REF!,"AAAAAH/+dyc=")</f>
        <v>#REF!</v>
      </c>
      <c r="AO90" t="e">
        <f>AND(#REF!,"AAAAAH/+dyg=")</f>
        <v>#REF!</v>
      </c>
      <c r="AP90" t="e">
        <f>IF(#REF!,"AAAAAH/+dyk=",0)</f>
        <v>#REF!</v>
      </c>
      <c r="AQ90" t="e">
        <f>AND(#REF!,"AAAAAH/+dyo=")</f>
        <v>#REF!</v>
      </c>
      <c r="AR90" t="e">
        <f>AND(#REF!,"AAAAAH/+dys=")</f>
        <v>#REF!</v>
      </c>
      <c r="AS90" t="e">
        <f>AND(#REF!,"AAAAAH/+dyw=")</f>
        <v>#REF!</v>
      </c>
      <c r="AT90" t="e">
        <f>AND(#REF!,"AAAAAH/+dy0=")</f>
        <v>#REF!</v>
      </c>
      <c r="AU90" t="e">
        <f>AND(#REF!,"AAAAAH/+dy4=")</f>
        <v>#REF!</v>
      </c>
      <c r="AV90" t="e">
        <f>AND(#REF!,"AAAAAH/+dy8=")</f>
        <v>#REF!</v>
      </c>
      <c r="AW90" t="e">
        <f>IF(#REF!,"AAAAAH/+dzA=",0)</f>
        <v>#REF!</v>
      </c>
      <c r="AX90" t="e">
        <f>AND(#REF!,"AAAAAH/+dzE=")</f>
        <v>#REF!</v>
      </c>
      <c r="AY90" t="e">
        <f>AND(#REF!,"AAAAAH/+dzI=")</f>
        <v>#REF!</v>
      </c>
      <c r="AZ90" t="e">
        <f>AND(#REF!,"AAAAAH/+dzM=")</f>
        <v>#REF!</v>
      </c>
      <c r="BA90" t="e">
        <f>AND(#REF!,"AAAAAH/+dzQ=")</f>
        <v>#REF!</v>
      </c>
      <c r="BB90" t="e">
        <f>AND(#REF!,"AAAAAH/+dzU=")</f>
        <v>#REF!</v>
      </c>
      <c r="BC90" t="e">
        <f>AND(#REF!,"AAAAAH/+dzY=")</f>
        <v>#REF!</v>
      </c>
      <c r="BD90" t="e">
        <f>IF(#REF!,"AAAAAH/+dzc=",0)</f>
        <v>#REF!</v>
      </c>
      <c r="BE90" t="e">
        <f>AND(#REF!,"AAAAAH/+dzg=")</f>
        <v>#REF!</v>
      </c>
      <c r="BF90" t="e">
        <f>AND(#REF!,"AAAAAH/+dzk=")</f>
        <v>#REF!</v>
      </c>
      <c r="BG90" t="e">
        <f>AND(#REF!,"AAAAAH/+dzo=")</f>
        <v>#REF!</v>
      </c>
      <c r="BH90" t="e">
        <f>AND(#REF!,"AAAAAH/+dzs=")</f>
        <v>#REF!</v>
      </c>
      <c r="BI90" t="e">
        <f>AND(#REF!,"AAAAAH/+dzw=")</f>
        <v>#REF!</v>
      </c>
      <c r="BJ90" t="e">
        <f>AND(#REF!,"AAAAAH/+dz0=")</f>
        <v>#REF!</v>
      </c>
      <c r="BK90" t="e">
        <f>IF(#REF!,"AAAAAH/+dz4=",0)</f>
        <v>#REF!</v>
      </c>
      <c r="BL90" t="e">
        <f>AND(#REF!,"AAAAAH/+dz8=")</f>
        <v>#REF!</v>
      </c>
      <c r="BM90" t="e">
        <f>AND(#REF!,"AAAAAH/+d0A=")</f>
        <v>#REF!</v>
      </c>
      <c r="BN90" t="e">
        <f>AND(#REF!,"AAAAAH/+d0E=")</f>
        <v>#REF!</v>
      </c>
      <c r="BO90" t="e">
        <f>AND(#REF!,"AAAAAH/+d0I=")</f>
        <v>#REF!</v>
      </c>
      <c r="BP90" t="e">
        <f>AND(#REF!,"AAAAAH/+d0M=")</f>
        <v>#REF!</v>
      </c>
      <c r="BQ90" t="e">
        <f>AND(#REF!,"AAAAAH/+d0Q=")</f>
        <v>#REF!</v>
      </c>
      <c r="BR90" t="e">
        <f>IF(#REF!,"AAAAAH/+d0U=",0)</f>
        <v>#REF!</v>
      </c>
      <c r="BS90" t="e">
        <f>AND(#REF!,"AAAAAH/+d0Y=")</f>
        <v>#REF!</v>
      </c>
      <c r="BT90" t="e">
        <f>AND(#REF!,"AAAAAH/+d0c=")</f>
        <v>#REF!</v>
      </c>
      <c r="BU90" t="e">
        <f>AND(#REF!,"AAAAAH/+d0g=")</f>
        <v>#REF!</v>
      </c>
      <c r="BV90" t="e">
        <f>AND(#REF!,"AAAAAH/+d0k=")</f>
        <v>#REF!</v>
      </c>
      <c r="BW90" t="e">
        <f>AND(#REF!,"AAAAAH/+d0o=")</f>
        <v>#REF!</v>
      </c>
      <c r="BX90" t="e">
        <f>AND(#REF!,"AAAAAH/+d0s=")</f>
        <v>#REF!</v>
      </c>
      <c r="BY90" t="e">
        <f>IF(#REF!,"AAAAAH/+d0w=",0)</f>
        <v>#REF!</v>
      </c>
      <c r="BZ90" t="e">
        <f>AND(#REF!,"AAAAAH/+d00=")</f>
        <v>#REF!</v>
      </c>
      <c r="CA90" t="e">
        <f>AND(#REF!,"AAAAAH/+d04=")</f>
        <v>#REF!</v>
      </c>
      <c r="CB90" t="e">
        <f>AND(#REF!,"AAAAAH/+d08=")</f>
        <v>#REF!</v>
      </c>
      <c r="CC90" t="e">
        <f>AND(#REF!,"AAAAAH/+d1A=")</f>
        <v>#REF!</v>
      </c>
      <c r="CD90" t="e">
        <f>AND(#REF!,"AAAAAH/+d1E=")</f>
        <v>#REF!</v>
      </c>
      <c r="CE90" t="e">
        <f>AND(#REF!,"AAAAAH/+d1I=")</f>
        <v>#REF!</v>
      </c>
      <c r="CF90" t="e">
        <f>IF(#REF!,"AAAAAH/+d1M=",0)</f>
        <v>#REF!</v>
      </c>
      <c r="CG90" t="e">
        <f>AND(#REF!,"AAAAAH/+d1Q=")</f>
        <v>#REF!</v>
      </c>
      <c r="CH90" t="e">
        <f>AND(#REF!,"AAAAAH/+d1U=")</f>
        <v>#REF!</v>
      </c>
      <c r="CI90" t="e">
        <f>AND(#REF!,"AAAAAH/+d1Y=")</f>
        <v>#REF!</v>
      </c>
      <c r="CJ90" t="e">
        <f>AND(#REF!,"AAAAAH/+d1c=")</f>
        <v>#REF!</v>
      </c>
      <c r="CK90" t="e">
        <f>AND(#REF!,"AAAAAH/+d1g=")</f>
        <v>#REF!</v>
      </c>
      <c r="CL90" t="e">
        <f>AND(#REF!,"AAAAAH/+d1k=")</f>
        <v>#REF!</v>
      </c>
      <c r="CM90" t="e">
        <f>IF(#REF!,"AAAAAH/+d1o=",0)</f>
        <v>#REF!</v>
      </c>
      <c r="CN90" t="e">
        <f>AND(#REF!,"AAAAAH/+d1s=")</f>
        <v>#REF!</v>
      </c>
      <c r="CO90" t="e">
        <f>AND(#REF!,"AAAAAH/+d1w=")</f>
        <v>#REF!</v>
      </c>
      <c r="CP90" t="e">
        <f>AND(#REF!,"AAAAAH/+d10=")</f>
        <v>#REF!</v>
      </c>
      <c r="CQ90" t="e">
        <f>AND(#REF!,"AAAAAH/+d14=")</f>
        <v>#REF!</v>
      </c>
      <c r="CR90" t="e">
        <f>AND(#REF!,"AAAAAH/+d18=")</f>
        <v>#REF!</v>
      </c>
      <c r="CS90" t="e">
        <f>AND(#REF!,"AAAAAH/+d2A=")</f>
        <v>#REF!</v>
      </c>
      <c r="CT90" t="e">
        <f>IF(#REF!,"AAAAAH/+d2E=",0)</f>
        <v>#REF!</v>
      </c>
      <c r="CU90" t="e">
        <f>AND(#REF!,"AAAAAH/+d2I=")</f>
        <v>#REF!</v>
      </c>
      <c r="CV90" t="e">
        <f>AND(#REF!,"AAAAAH/+d2M=")</f>
        <v>#REF!</v>
      </c>
      <c r="CW90" t="e">
        <f>AND(#REF!,"AAAAAH/+d2Q=")</f>
        <v>#REF!</v>
      </c>
      <c r="CX90" t="e">
        <f>AND(#REF!,"AAAAAH/+d2U=")</f>
        <v>#REF!</v>
      </c>
      <c r="CY90" t="e">
        <f>AND(#REF!,"AAAAAH/+d2Y=")</f>
        <v>#REF!</v>
      </c>
      <c r="CZ90" t="e">
        <f>AND(#REF!,"AAAAAH/+d2c=")</f>
        <v>#REF!</v>
      </c>
      <c r="DA90" t="e">
        <f>IF(#REF!,"AAAAAH/+d2g=",0)</f>
        <v>#REF!</v>
      </c>
      <c r="DB90" t="e">
        <f>AND(#REF!,"AAAAAH/+d2k=")</f>
        <v>#REF!</v>
      </c>
      <c r="DC90" t="e">
        <f>AND(#REF!,"AAAAAH/+d2o=")</f>
        <v>#REF!</v>
      </c>
      <c r="DD90" t="e">
        <f>AND(#REF!,"AAAAAH/+d2s=")</f>
        <v>#REF!</v>
      </c>
      <c r="DE90" t="e">
        <f>AND(#REF!,"AAAAAH/+d2w=")</f>
        <v>#REF!</v>
      </c>
      <c r="DF90" t="e">
        <f>AND(#REF!,"AAAAAH/+d20=")</f>
        <v>#REF!</v>
      </c>
      <c r="DG90" t="e">
        <f>AND(#REF!,"AAAAAH/+d24=")</f>
        <v>#REF!</v>
      </c>
      <c r="DH90" t="e">
        <f>IF(#REF!,"AAAAAH/+d28=",0)</f>
        <v>#REF!</v>
      </c>
      <c r="DI90" t="e">
        <f>AND(#REF!,"AAAAAH/+d3A=")</f>
        <v>#REF!</v>
      </c>
      <c r="DJ90" t="e">
        <f>AND(#REF!,"AAAAAH/+d3E=")</f>
        <v>#REF!</v>
      </c>
      <c r="DK90" t="e">
        <f>AND(#REF!,"AAAAAH/+d3I=")</f>
        <v>#REF!</v>
      </c>
      <c r="DL90" t="e">
        <f>AND(#REF!,"AAAAAH/+d3M=")</f>
        <v>#REF!</v>
      </c>
      <c r="DM90" t="e">
        <f>AND(#REF!,"AAAAAH/+d3Q=")</f>
        <v>#REF!</v>
      </c>
      <c r="DN90" t="e">
        <f>AND(#REF!,"AAAAAH/+d3U=")</f>
        <v>#REF!</v>
      </c>
      <c r="DO90" t="e">
        <f>IF(#REF!,"AAAAAH/+d3Y=",0)</f>
        <v>#REF!</v>
      </c>
      <c r="DP90" t="e">
        <f>AND(#REF!,"AAAAAH/+d3c=")</f>
        <v>#REF!</v>
      </c>
      <c r="DQ90" t="e">
        <f>AND(#REF!,"AAAAAH/+d3g=")</f>
        <v>#REF!</v>
      </c>
      <c r="DR90" t="e">
        <f>AND(#REF!,"AAAAAH/+d3k=")</f>
        <v>#REF!</v>
      </c>
      <c r="DS90" t="e">
        <f>AND(#REF!,"AAAAAH/+d3o=")</f>
        <v>#REF!</v>
      </c>
      <c r="DT90" t="e">
        <f>AND(#REF!,"AAAAAH/+d3s=")</f>
        <v>#REF!</v>
      </c>
      <c r="DU90" t="e">
        <f>AND(#REF!,"AAAAAH/+d3w=")</f>
        <v>#REF!</v>
      </c>
      <c r="DV90" t="e">
        <f>IF(#REF!,"AAAAAH/+d30=",0)</f>
        <v>#REF!</v>
      </c>
      <c r="DW90" t="e">
        <f>AND(#REF!,"AAAAAH/+d34=")</f>
        <v>#REF!</v>
      </c>
      <c r="DX90" t="e">
        <f>AND(#REF!,"AAAAAH/+d38=")</f>
        <v>#REF!</v>
      </c>
      <c r="DY90" t="e">
        <f>AND(#REF!,"AAAAAH/+d4A=")</f>
        <v>#REF!</v>
      </c>
      <c r="DZ90" t="e">
        <f>AND(#REF!,"AAAAAH/+d4E=")</f>
        <v>#REF!</v>
      </c>
      <c r="EA90" t="e">
        <f>AND(#REF!,"AAAAAH/+d4I=")</f>
        <v>#REF!</v>
      </c>
      <c r="EB90" t="e">
        <f>AND(#REF!,"AAAAAH/+d4M=")</f>
        <v>#REF!</v>
      </c>
      <c r="EC90" t="e">
        <f>IF(#REF!,"AAAAAH/+d4Q=",0)</f>
        <v>#REF!</v>
      </c>
      <c r="ED90" t="e">
        <f>AND(#REF!,"AAAAAH/+d4U=")</f>
        <v>#REF!</v>
      </c>
      <c r="EE90" t="e">
        <f>AND(#REF!,"AAAAAH/+d4Y=")</f>
        <v>#REF!</v>
      </c>
      <c r="EF90" t="e">
        <f>AND(#REF!,"AAAAAH/+d4c=")</f>
        <v>#REF!</v>
      </c>
      <c r="EG90" t="e">
        <f>AND(#REF!,"AAAAAH/+d4g=")</f>
        <v>#REF!</v>
      </c>
      <c r="EH90" t="e">
        <f>AND(#REF!,"AAAAAH/+d4k=")</f>
        <v>#REF!</v>
      </c>
      <c r="EI90" t="e">
        <f>AND(#REF!,"AAAAAH/+d4o=")</f>
        <v>#REF!</v>
      </c>
      <c r="EJ90" t="e">
        <f>IF(#REF!,"AAAAAH/+d4s=",0)</f>
        <v>#REF!</v>
      </c>
      <c r="EK90" t="e">
        <f>AND(#REF!,"AAAAAH/+d4w=")</f>
        <v>#REF!</v>
      </c>
      <c r="EL90" t="e">
        <f>AND(#REF!,"AAAAAH/+d40=")</f>
        <v>#REF!</v>
      </c>
      <c r="EM90" t="e">
        <f>AND(#REF!,"AAAAAH/+d44=")</f>
        <v>#REF!</v>
      </c>
      <c r="EN90" t="e">
        <f>AND(#REF!,"AAAAAH/+d48=")</f>
        <v>#REF!</v>
      </c>
      <c r="EO90" t="e">
        <f>AND(#REF!,"AAAAAH/+d5A=")</f>
        <v>#REF!</v>
      </c>
      <c r="EP90" t="e">
        <f>AND(#REF!,"AAAAAH/+d5E=")</f>
        <v>#REF!</v>
      </c>
      <c r="EQ90" t="e">
        <f>IF(#REF!,"AAAAAH/+d5I=",0)</f>
        <v>#REF!</v>
      </c>
      <c r="ER90" t="e">
        <f>AND(#REF!,"AAAAAH/+d5M=")</f>
        <v>#REF!</v>
      </c>
      <c r="ES90" t="e">
        <f>AND(#REF!,"AAAAAH/+d5Q=")</f>
        <v>#REF!</v>
      </c>
      <c r="ET90" t="e">
        <f>AND(#REF!,"AAAAAH/+d5U=")</f>
        <v>#REF!</v>
      </c>
      <c r="EU90" t="e">
        <f>AND(#REF!,"AAAAAH/+d5Y=")</f>
        <v>#REF!</v>
      </c>
      <c r="EV90" t="e">
        <f>AND(#REF!,"AAAAAH/+d5c=")</f>
        <v>#REF!</v>
      </c>
      <c r="EW90" t="e">
        <f>AND(#REF!,"AAAAAH/+d5g=")</f>
        <v>#REF!</v>
      </c>
      <c r="EX90" t="e">
        <f>IF(#REF!,"AAAAAH/+d5k=",0)</f>
        <v>#REF!</v>
      </c>
      <c r="EY90" t="e">
        <f>AND(#REF!,"AAAAAH/+d5o=")</f>
        <v>#REF!</v>
      </c>
      <c r="EZ90" t="e">
        <f>AND(#REF!,"AAAAAH/+d5s=")</f>
        <v>#REF!</v>
      </c>
      <c r="FA90" t="e">
        <f>AND(#REF!,"AAAAAH/+d5w=")</f>
        <v>#REF!</v>
      </c>
      <c r="FB90" t="e">
        <f>AND(#REF!,"AAAAAH/+d50=")</f>
        <v>#REF!</v>
      </c>
      <c r="FC90" t="e">
        <f>AND(#REF!,"AAAAAH/+d54=")</f>
        <v>#REF!</v>
      </c>
      <c r="FD90" t="e">
        <f>AND(#REF!,"AAAAAH/+d58=")</f>
        <v>#REF!</v>
      </c>
      <c r="FE90" t="e">
        <f>IF(#REF!,"AAAAAH/+d6A=",0)</f>
        <v>#REF!</v>
      </c>
      <c r="FF90" t="e">
        <f>AND(#REF!,"AAAAAH/+d6E=")</f>
        <v>#REF!</v>
      </c>
      <c r="FG90" t="e">
        <f>AND(#REF!,"AAAAAH/+d6I=")</f>
        <v>#REF!</v>
      </c>
      <c r="FH90" t="e">
        <f>AND(#REF!,"AAAAAH/+d6M=")</f>
        <v>#REF!</v>
      </c>
      <c r="FI90" t="e">
        <f>AND(#REF!,"AAAAAH/+d6Q=")</f>
        <v>#REF!</v>
      </c>
      <c r="FJ90" t="e">
        <f>AND(#REF!,"AAAAAH/+d6U=")</f>
        <v>#REF!</v>
      </c>
      <c r="FK90" t="e">
        <f>AND(#REF!,"AAAAAH/+d6Y=")</f>
        <v>#REF!</v>
      </c>
      <c r="FL90" t="e">
        <f>IF(#REF!,"AAAAAH/+d6c=",0)</f>
        <v>#REF!</v>
      </c>
      <c r="FM90" t="e">
        <f>AND(#REF!,"AAAAAH/+d6g=")</f>
        <v>#REF!</v>
      </c>
      <c r="FN90" t="e">
        <f>AND(#REF!,"AAAAAH/+d6k=")</f>
        <v>#REF!</v>
      </c>
      <c r="FO90" t="e">
        <f>AND(#REF!,"AAAAAH/+d6o=")</f>
        <v>#REF!</v>
      </c>
      <c r="FP90" t="e">
        <f>AND(#REF!,"AAAAAH/+d6s=")</f>
        <v>#REF!</v>
      </c>
      <c r="FQ90" t="e">
        <f>AND(#REF!,"AAAAAH/+d6w=")</f>
        <v>#REF!</v>
      </c>
      <c r="FR90" t="e">
        <f>AND(#REF!,"AAAAAH/+d60=")</f>
        <v>#REF!</v>
      </c>
      <c r="FS90" t="e">
        <f>IF(#REF!,"AAAAAH/+d64=",0)</f>
        <v>#REF!</v>
      </c>
      <c r="FT90" t="e">
        <f>AND(#REF!,"AAAAAH/+d68=")</f>
        <v>#REF!</v>
      </c>
      <c r="FU90" t="e">
        <f>AND(#REF!,"AAAAAH/+d7A=")</f>
        <v>#REF!</v>
      </c>
      <c r="FV90" t="e">
        <f>AND(#REF!,"AAAAAH/+d7E=")</f>
        <v>#REF!</v>
      </c>
      <c r="FW90" t="e">
        <f>AND(#REF!,"AAAAAH/+d7I=")</f>
        <v>#REF!</v>
      </c>
      <c r="FX90" t="e">
        <f>AND(#REF!,"AAAAAH/+d7M=")</f>
        <v>#REF!</v>
      </c>
      <c r="FY90" t="e">
        <f>AND(#REF!,"AAAAAH/+d7Q=")</f>
        <v>#REF!</v>
      </c>
      <c r="FZ90" t="e">
        <f>IF(#REF!,"AAAAAH/+d7U=",0)</f>
        <v>#REF!</v>
      </c>
      <c r="GA90" t="e">
        <f>AND(#REF!,"AAAAAH/+d7Y=")</f>
        <v>#REF!</v>
      </c>
      <c r="GB90" t="e">
        <f>AND(#REF!,"AAAAAH/+d7c=")</f>
        <v>#REF!</v>
      </c>
      <c r="GC90" t="e">
        <f>AND(#REF!,"AAAAAH/+d7g=")</f>
        <v>#REF!</v>
      </c>
      <c r="GD90" t="e">
        <f>AND(#REF!,"AAAAAH/+d7k=")</f>
        <v>#REF!</v>
      </c>
      <c r="GE90" t="e">
        <f>AND(#REF!,"AAAAAH/+d7o=")</f>
        <v>#REF!</v>
      </c>
      <c r="GF90" t="e">
        <f>AND(#REF!,"AAAAAH/+d7s=")</f>
        <v>#REF!</v>
      </c>
      <c r="GG90" t="e">
        <f>IF(#REF!,"AAAAAH/+d7w=",0)</f>
        <v>#REF!</v>
      </c>
      <c r="GH90" t="e">
        <f>AND(#REF!,"AAAAAH/+d70=")</f>
        <v>#REF!</v>
      </c>
      <c r="GI90" t="e">
        <f>AND(#REF!,"AAAAAH/+d74=")</f>
        <v>#REF!</v>
      </c>
      <c r="GJ90" t="e">
        <f>AND(#REF!,"AAAAAH/+d78=")</f>
        <v>#REF!</v>
      </c>
      <c r="GK90" t="e">
        <f>AND(#REF!,"AAAAAH/+d8A=")</f>
        <v>#REF!</v>
      </c>
      <c r="GL90" t="e">
        <f>AND(#REF!,"AAAAAH/+d8E=")</f>
        <v>#REF!</v>
      </c>
      <c r="GM90" t="e">
        <f>AND(#REF!,"AAAAAH/+d8I=")</f>
        <v>#REF!</v>
      </c>
      <c r="GN90" t="e">
        <f>IF(#REF!,"AAAAAH/+d8M=",0)</f>
        <v>#REF!</v>
      </c>
      <c r="GO90" t="e">
        <f>AND(#REF!,"AAAAAH/+d8Q=")</f>
        <v>#REF!</v>
      </c>
      <c r="GP90" t="e">
        <f>AND(#REF!,"AAAAAH/+d8U=")</f>
        <v>#REF!</v>
      </c>
      <c r="GQ90" t="e">
        <f>AND(#REF!,"AAAAAH/+d8Y=")</f>
        <v>#REF!</v>
      </c>
      <c r="GR90" t="e">
        <f>AND(#REF!,"AAAAAH/+d8c=")</f>
        <v>#REF!</v>
      </c>
      <c r="GS90" t="e">
        <f>AND(#REF!,"AAAAAH/+d8g=")</f>
        <v>#REF!</v>
      </c>
      <c r="GT90" t="e">
        <f>AND(#REF!,"AAAAAH/+d8k=")</f>
        <v>#REF!</v>
      </c>
      <c r="GU90" t="e">
        <f>IF(#REF!,"AAAAAH/+d8o=",0)</f>
        <v>#REF!</v>
      </c>
      <c r="GV90" t="e">
        <f>AND(#REF!,"AAAAAH/+d8s=")</f>
        <v>#REF!</v>
      </c>
      <c r="GW90" t="e">
        <f>AND(#REF!,"AAAAAH/+d8w=")</f>
        <v>#REF!</v>
      </c>
      <c r="GX90" t="e">
        <f>AND(#REF!,"AAAAAH/+d80=")</f>
        <v>#REF!</v>
      </c>
      <c r="GY90" t="e">
        <f>AND(#REF!,"AAAAAH/+d84=")</f>
        <v>#REF!</v>
      </c>
      <c r="GZ90" t="e">
        <f>AND(#REF!,"AAAAAH/+d88=")</f>
        <v>#REF!</v>
      </c>
      <c r="HA90" t="e">
        <f>AND(#REF!,"AAAAAH/+d9A=")</f>
        <v>#REF!</v>
      </c>
      <c r="HB90" t="e">
        <f>IF(#REF!,"AAAAAH/+d9E=",0)</f>
        <v>#REF!</v>
      </c>
      <c r="HC90" t="e">
        <f>AND(#REF!,"AAAAAH/+d9I=")</f>
        <v>#REF!</v>
      </c>
      <c r="HD90" t="e">
        <f>AND(#REF!,"AAAAAH/+d9M=")</f>
        <v>#REF!</v>
      </c>
      <c r="HE90" t="e">
        <f>AND(#REF!,"AAAAAH/+d9Q=")</f>
        <v>#REF!</v>
      </c>
      <c r="HF90" t="e">
        <f>AND(#REF!,"AAAAAH/+d9U=")</f>
        <v>#REF!</v>
      </c>
      <c r="HG90" t="e">
        <f>AND(#REF!,"AAAAAH/+d9Y=")</f>
        <v>#REF!</v>
      </c>
      <c r="HH90" t="e">
        <f>AND(#REF!,"AAAAAH/+d9c=")</f>
        <v>#REF!</v>
      </c>
      <c r="HI90" t="e">
        <f>IF(#REF!,"AAAAAH/+d9g=",0)</f>
        <v>#REF!</v>
      </c>
      <c r="HJ90" t="e">
        <f>AND(#REF!,"AAAAAH/+d9k=")</f>
        <v>#REF!</v>
      </c>
      <c r="HK90" t="e">
        <f>AND(#REF!,"AAAAAH/+d9o=")</f>
        <v>#REF!</v>
      </c>
      <c r="HL90" t="e">
        <f>AND(#REF!,"AAAAAH/+d9s=")</f>
        <v>#REF!</v>
      </c>
      <c r="HM90" t="e">
        <f>AND(#REF!,"AAAAAH/+d9w=")</f>
        <v>#REF!</v>
      </c>
      <c r="HN90" t="e">
        <f>AND(#REF!,"AAAAAH/+d90=")</f>
        <v>#REF!</v>
      </c>
      <c r="HO90" t="e">
        <f>AND(#REF!,"AAAAAH/+d94=")</f>
        <v>#REF!</v>
      </c>
      <c r="HP90" t="e">
        <f>IF(#REF!,"AAAAAH/+d98=",0)</f>
        <v>#REF!</v>
      </c>
      <c r="HQ90" t="e">
        <f>AND(#REF!,"AAAAAH/+d+A=")</f>
        <v>#REF!</v>
      </c>
      <c r="HR90" t="e">
        <f>AND(#REF!,"AAAAAH/+d+E=")</f>
        <v>#REF!</v>
      </c>
      <c r="HS90" t="e">
        <f>AND(#REF!,"AAAAAH/+d+I=")</f>
        <v>#REF!</v>
      </c>
      <c r="HT90" t="e">
        <f>AND(#REF!,"AAAAAH/+d+M=")</f>
        <v>#REF!</v>
      </c>
      <c r="HU90" t="e">
        <f>AND(#REF!,"AAAAAH/+d+Q=")</f>
        <v>#REF!</v>
      </c>
      <c r="HV90" t="e">
        <f>AND(#REF!,"AAAAAH/+d+U=")</f>
        <v>#REF!</v>
      </c>
      <c r="HW90" t="e">
        <f>IF(#REF!,"AAAAAH/+d+Y=",0)</f>
        <v>#REF!</v>
      </c>
      <c r="HX90" t="e">
        <f>AND(#REF!,"AAAAAH/+d+c=")</f>
        <v>#REF!</v>
      </c>
      <c r="HY90" t="e">
        <f>AND(#REF!,"AAAAAH/+d+g=")</f>
        <v>#REF!</v>
      </c>
      <c r="HZ90" t="e">
        <f>AND(#REF!,"AAAAAH/+d+k=")</f>
        <v>#REF!</v>
      </c>
      <c r="IA90" t="e">
        <f>AND(#REF!,"AAAAAH/+d+o=")</f>
        <v>#REF!</v>
      </c>
      <c r="IB90" t="e">
        <f>AND(#REF!,"AAAAAH/+d+s=")</f>
        <v>#REF!</v>
      </c>
      <c r="IC90" t="e">
        <f>AND(#REF!,"AAAAAH/+d+w=")</f>
        <v>#REF!</v>
      </c>
      <c r="ID90" t="e">
        <f>IF(#REF!,"AAAAAH/+d+0=",0)</f>
        <v>#REF!</v>
      </c>
      <c r="IE90" t="e">
        <f>AND(#REF!,"AAAAAH/+d+4=")</f>
        <v>#REF!</v>
      </c>
      <c r="IF90" t="e">
        <f>AND(#REF!,"AAAAAH/+d+8=")</f>
        <v>#REF!</v>
      </c>
      <c r="IG90" t="e">
        <f>AND(#REF!,"AAAAAH/+d/A=")</f>
        <v>#REF!</v>
      </c>
      <c r="IH90" t="e">
        <f>AND(#REF!,"AAAAAH/+d/E=")</f>
        <v>#REF!</v>
      </c>
      <c r="II90" t="e">
        <f>AND(#REF!,"AAAAAH/+d/I=")</f>
        <v>#REF!</v>
      </c>
      <c r="IJ90" t="e">
        <f>AND(#REF!,"AAAAAH/+d/M=")</f>
        <v>#REF!</v>
      </c>
      <c r="IK90" t="e">
        <f>IF(#REF!,"AAAAAH/+d/Q=",0)</f>
        <v>#REF!</v>
      </c>
      <c r="IL90" t="e">
        <f>AND(#REF!,"AAAAAH/+d/U=")</f>
        <v>#REF!</v>
      </c>
      <c r="IM90" t="e">
        <f>AND(#REF!,"AAAAAH/+d/Y=")</f>
        <v>#REF!</v>
      </c>
      <c r="IN90" t="e">
        <f>AND(#REF!,"AAAAAH/+d/c=")</f>
        <v>#REF!</v>
      </c>
      <c r="IO90" t="e">
        <f>AND(#REF!,"AAAAAH/+d/g=")</f>
        <v>#REF!</v>
      </c>
      <c r="IP90" t="e">
        <f>AND(#REF!,"AAAAAH/+d/k=")</f>
        <v>#REF!</v>
      </c>
      <c r="IQ90" t="e">
        <f>AND(#REF!,"AAAAAH/+d/o=")</f>
        <v>#REF!</v>
      </c>
      <c r="IR90" t="e">
        <f>IF(#REF!,"AAAAAH/+d/s=",0)</f>
        <v>#REF!</v>
      </c>
      <c r="IS90" t="e">
        <f>AND(#REF!,"AAAAAH/+d/w=")</f>
        <v>#REF!</v>
      </c>
      <c r="IT90" t="e">
        <f>AND(#REF!,"AAAAAH/+d/0=")</f>
        <v>#REF!</v>
      </c>
      <c r="IU90" t="e">
        <f>AND(#REF!,"AAAAAH/+d/4=")</f>
        <v>#REF!</v>
      </c>
      <c r="IV90" t="e">
        <f>AND(#REF!,"AAAAAH/+d/8=")</f>
        <v>#REF!</v>
      </c>
    </row>
    <row r="91" spans="1:256" x14ac:dyDescent="0.15">
      <c r="A91" t="e">
        <f>AND(#REF!,"AAAAAH577QA=")</f>
        <v>#REF!</v>
      </c>
      <c r="B91" t="e">
        <f>AND(#REF!,"AAAAAH577QE=")</f>
        <v>#REF!</v>
      </c>
      <c r="C91" t="e">
        <f>IF(#REF!,"AAAAAH577QI=",0)</f>
        <v>#REF!</v>
      </c>
      <c r="D91" t="e">
        <f>AND(#REF!,"AAAAAH577QM=")</f>
        <v>#REF!</v>
      </c>
      <c r="E91" t="e">
        <f>AND(#REF!,"AAAAAH577QQ=")</f>
        <v>#REF!</v>
      </c>
      <c r="F91" t="e">
        <f>AND(#REF!,"AAAAAH577QU=")</f>
        <v>#REF!</v>
      </c>
      <c r="G91" t="e">
        <f>AND(#REF!,"AAAAAH577QY=")</f>
        <v>#REF!</v>
      </c>
      <c r="H91" t="e">
        <f>AND(#REF!,"AAAAAH577Qc=")</f>
        <v>#REF!</v>
      </c>
      <c r="I91" t="e">
        <f>AND(#REF!,"AAAAAH577Qg=")</f>
        <v>#REF!</v>
      </c>
      <c r="J91" t="e">
        <f>IF(#REF!,"AAAAAH577Qk=",0)</f>
        <v>#REF!</v>
      </c>
      <c r="K91" t="e">
        <f>AND(#REF!,"AAAAAH577Qo=")</f>
        <v>#REF!</v>
      </c>
      <c r="L91" t="e">
        <f>AND(#REF!,"AAAAAH577Qs=")</f>
        <v>#REF!</v>
      </c>
      <c r="M91" t="e">
        <f>AND(#REF!,"AAAAAH577Qw=")</f>
        <v>#REF!</v>
      </c>
      <c r="N91" t="e">
        <f>AND(#REF!,"AAAAAH577Q0=")</f>
        <v>#REF!</v>
      </c>
      <c r="O91" t="e">
        <f>AND(#REF!,"AAAAAH577Q4=")</f>
        <v>#REF!</v>
      </c>
      <c r="P91" t="e">
        <f>AND(#REF!,"AAAAAH577Q8=")</f>
        <v>#REF!</v>
      </c>
      <c r="Q91" t="e">
        <f>IF(#REF!,"AAAAAH577RA=",0)</f>
        <v>#REF!</v>
      </c>
      <c r="R91" t="e">
        <f>AND(#REF!,"AAAAAH577RE=")</f>
        <v>#REF!</v>
      </c>
      <c r="S91" t="e">
        <f>AND(#REF!,"AAAAAH577RI=")</f>
        <v>#REF!</v>
      </c>
      <c r="T91" t="e">
        <f>AND(#REF!,"AAAAAH577RM=")</f>
        <v>#REF!</v>
      </c>
      <c r="U91" t="e">
        <f>AND(#REF!,"AAAAAH577RQ=")</f>
        <v>#REF!</v>
      </c>
      <c r="V91" t="e">
        <f>AND(#REF!,"AAAAAH577RU=")</f>
        <v>#REF!</v>
      </c>
      <c r="W91" t="e">
        <f>AND(#REF!,"AAAAAH577RY=")</f>
        <v>#REF!</v>
      </c>
      <c r="X91" t="e">
        <f>IF(#REF!,"AAAAAH577Rc=",0)</f>
        <v>#REF!</v>
      </c>
      <c r="Y91" t="e">
        <f>AND(#REF!,"AAAAAH577Rg=")</f>
        <v>#REF!</v>
      </c>
      <c r="Z91" t="e">
        <f>AND(#REF!,"AAAAAH577Rk=")</f>
        <v>#REF!</v>
      </c>
      <c r="AA91" t="e">
        <f>AND(#REF!,"AAAAAH577Ro=")</f>
        <v>#REF!</v>
      </c>
      <c r="AB91" t="e">
        <f>AND(#REF!,"AAAAAH577Rs=")</f>
        <v>#REF!</v>
      </c>
      <c r="AC91" t="e">
        <f>AND(#REF!,"AAAAAH577Rw=")</f>
        <v>#REF!</v>
      </c>
      <c r="AD91" t="e">
        <f>AND(#REF!,"AAAAAH577R0=")</f>
        <v>#REF!</v>
      </c>
      <c r="AE91" t="e">
        <f>IF(#REF!,"AAAAAH577R4=",0)</f>
        <v>#REF!</v>
      </c>
      <c r="AF91" t="e">
        <f>AND(#REF!,"AAAAAH577R8=")</f>
        <v>#REF!</v>
      </c>
      <c r="AG91" t="e">
        <f>AND(#REF!,"AAAAAH577SA=")</f>
        <v>#REF!</v>
      </c>
      <c r="AH91" t="e">
        <f>AND(#REF!,"AAAAAH577SE=")</f>
        <v>#REF!</v>
      </c>
      <c r="AI91" t="e">
        <f>AND(#REF!,"AAAAAH577SI=")</f>
        <v>#REF!</v>
      </c>
      <c r="AJ91" t="e">
        <f>AND(#REF!,"AAAAAH577SM=")</f>
        <v>#REF!</v>
      </c>
      <c r="AK91" t="e">
        <f>AND(#REF!,"AAAAAH577SQ=")</f>
        <v>#REF!</v>
      </c>
      <c r="AL91" t="e">
        <f>IF(#REF!,"AAAAAH577SU=",0)</f>
        <v>#REF!</v>
      </c>
      <c r="AM91" t="e">
        <f>AND(#REF!,"AAAAAH577SY=")</f>
        <v>#REF!</v>
      </c>
      <c r="AN91" t="e">
        <f>AND(#REF!,"AAAAAH577Sc=")</f>
        <v>#REF!</v>
      </c>
      <c r="AO91" t="e">
        <f>AND(#REF!,"AAAAAH577Sg=")</f>
        <v>#REF!</v>
      </c>
      <c r="AP91" t="e">
        <f>AND(#REF!,"AAAAAH577Sk=")</f>
        <v>#REF!</v>
      </c>
      <c r="AQ91" t="e">
        <f>AND(#REF!,"AAAAAH577So=")</f>
        <v>#REF!</v>
      </c>
      <c r="AR91" t="e">
        <f>AND(#REF!,"AAAAAH577Ss=")</f>
        <v>#REF!</v>
      </c>
      <c r="AS91" t="e">
        <f>IF(#REF!,"AAAAAH577Sw=",0)</f>
        <v>#REF!</v>
      </c>
      <c r="AT91" t="e">
        <f>AND(#REF!,"AAAAAH577S0=")</f>
        <v>#REF!</v>
      </c>
      <c r="AU91" t="e">
        <f>AND(#REF!,"AAAAAH577S4=")</f>
        <v>#REF!</v>
      </c>
      <c r="AV91" t="e">
        <f>AND(#REF!,"AAAAAH577S8=")</f>
        <v>#REF!</v>
      </c>
      <c r="AW91" t="e">
        <f>AND(#REF!,"AAAAAH577TA=")</f>
        <v>#REF!</v>
      </c>
      <c r="AX91" t="e">
        <f>AND(#REF!,"AAAAAH577TE=")</f>
        <v>#REF!</v>
      </c>
      <c r="AY91" t="e">
        <f>AND(#REF!,"AAAAAH577TI=")</f>
        <v>#REF!</v>
      </c>
      <c r="AZ91" t="e">
        <f>IF(#REF!,"AAAAAH577TM=",0)</f>
        <v>#REF!</v>
      </c>
      <c r="BA91" t="e">
        <f>AND(#REF!,"AAAAAH577TQ=")</f>
        <v>#REF!</v>
      </c>
      <c r="BB91" t="e">
        <f>AND(#REF!,"AAAAAH577TU=")</f>
        <v>#REF!</v>
      </c>
      <c r="BC91" t="e">
        <f>AND(#REF!,"AAAAAH577TY=")</f>
        <v>#REF!</v>
      </c>
      <c r="BD91" t="e">
        <f>AND(#REF!,"AAAAAH577Tc=")</f>
        <v>#REF!</v>
      </c>
      <c r="BE91" t="e">
        <f>AND(#REF!,"AAAAAH577Tg=")</f>
        <v>#REF!</v>
      </c>
      <c r="BF91" t="e">
        <f>AND(#REF!,"AAAAAH577Tk=")</f>
        <v>#REF!</v>
      </c>
      <c r="BG91" t="e">
        <f>IF(#REF!,"AAAAAH577To=",0)</f>
        <v>#REF!</v>
      </c>
      <c r="BH91" t="e">
        <f>AND(#REF!,"AAAAAH577Ts=")</f>
        <v>#REF!</v>
      </c>
      <c r="BI91" t="e">
        <f>AND(#REF!,"AAAAAH577Tw=")</f>
        <v>#REF!</v>
      </c>
      <c r="BJ91" t="e">
        <f>AND(#REF!,"AAAAAH577T0=")</f>
        <v>#REF!</v>
      </c>
      <c r="BK91" t="e">
        <f>AND(#REF!,"AAAAAH577T4=")</f>
        <v>#REF!</v>
      </c>
      <c r="BL91" t="e">
        <f>AND(#REF!,"AAAAAH577T8=")</f>
        <v>#REF!</v>
      </c>
      <c r="BM91" t="e">
        <f>AND(#REF!,"AAAAAH577UA=")</f>
        <v>#REF!</v>
      </c>
      <c r="BN91" t="e">
        <f>IF(#REF!,"AAAAAH577UE=",0)</f>
        <v>#REF!</v>
      </c>
      <c r="BO91" t="e">
        <f>AND(#REF!,"AAAAAH577UI=")</f>
        <v>#REF!</v>
      </c>
      <c r="BP91" t="e">
        <f>AND(#REF!,"AAAAAH577UM=")</f>
        <v>#REF!</v>
      </c>
      <c r="BQ91" t="e">
        <f>AND(#REF!,"AAAAAH577UQ=")</f>
        <v>#REF!</v>
      </c>
      <c r="BR91" t="e">
        <f>AND(#REF!,"AAAAAH577UU=")</f>
        <v>#REF!</v>
      </c>
      <c r="BS91" t="e">
        <f>AND(#REF!,"AAAAAH577UY=")</f>
        <v>#REF!</v>
      </c>
      <c r="BT91" t="e">
        <f>AND(#REF!,"AAAAAH577Uc=")</f>
        <v>#REF!</v>
      </c>
      <c r="BU91" t="e">
        <f>IF(#REF!,"AAAAAH577Ug=",0)</f>
        <v>#REF!</v>
      </c>
      <c r="BV91" t="e">
        <f>AND(#REF!,"AAAAAH577Uk=")</f>
        <v>#REF!</v>
      </c>
      <c r="BW91" t="e">
        <f>AND(#REF!,"AAAAAH577Uo=")</f>
        <v>#REF!</v>
      </c>
      <c r="BX91" t="e">
        <f>AND(#REF!,"AAAAAH577Us=")</f>
        <v>#REF!</v>
      </c>
      <c r="BY91" t="e">
        <f>AND(#REF!,"AAAAAH577Uw=")</f>
        <v>#REF!</v>
      </c>
      <c r="BZ91" t="e">
        <f>AND(#REF!,"AAAAAH577U0=")</f>
        <v>#REF!</v>
      </c>
      <c r="CA91" t="e">
        <f>AND(#REF!,"AAAAAH577U4=")</f>
        <v>#REF!</v>
      </c>
      <c r="CB91" t="e">
        <f>IF(#REF!,"AAAAAH577U8=",0)</f>
        <v>#REF!</v>
      </c>
      <c r="CC91" t="e">
        <f>AND(#REF!,"AAAAAH577VA=")</f>
        <v>#REF!</v>
      </c>
      <c r="CD91" t="e">
        <f>AND(#REF!,"AAAAAH577VE=")</f>
        <v>#REF!</v>
      </c>
      <c r="CE91" t="e">
        <f>AND(#REF!,"AAAAAH577VI=")</f>
        <v>#REF!</v>
      </c>
      <c r="CF91" t="e">
        <f>AND(#REF!,"AAAAAH577VM=")</f>
        <v>#REF!</v>
      </c>
      <c r="CG91" t="e">
        <f>AND(#REF!,"AAAAAH577VQ=")</f>
        <v>#REF!</v>
      </c>
      <c r="CH91" t="e">
        <f>AND(#REF!,"AAAAAH577VU=")</f>
        <v>#REF!</v>
      </c>
      <c r="CI91" t="e">
        <f>IF(#REF!,"AAAAAH577VY=",0)</f>
        <v>#REF!</v>
      </c>
      <c r="CJ91" t="e">
        <f>AND(#REF!,"AAAAAH577Vc=")</f>
        <v>#REF!</v>
      </c>
      <c r="CK91" t="e">
        <f>AND(#REF!,"AAAAAH577Vg=")</f>
        <v>#REF!</v>
      </c>
      <c r="CL91" t="e">
        <f>AND(#REF!,"AAAAAH577Vk=")</f>
        <v>#REF!</v>
      </c>
      <c r="CM91" t="e">
        <f>AND(#REF!,"AAAAAH577Vo=")</f>
        <v>#REF!</v>
      </c>
      <c r="CN91" t="e">
        <f>AND(#REF!,"AAAAAH577Vs=")</f>
        <v>#REF!</v>
      </c>
      <c r="CO91" t="e">
        <f>AND(#REF!,"AAAAAH577Vw=")</f>
        <v>#REF!</v>
      </c>
      <c r="CP91" t="e">
        <f>IF(#REF!,"AAAAAH577V0=",0)</f>
        <v>#REF!</v>
      </c>
      <c r="CQ91" t="e">
        <f>AND(#REF!,"AAAAAH577V4=")</f>
        <v>#REF!</v>
      </c>
      <c r="CR91" t="e">
        <f>AND(#REF!,"AAAAAH577V8=")</f>
        <v>#REF!</v>
      </c>
      <c r="CS91" t="e">
        <f>AND(#REF!,"AAAAAH577WA=")</f>
        <v>#REF!</v>
      </c>
      <c r="CT91" t="e">
        <f>AND(#REF!,"AAAAAH577WE=")</f>
        <v>#REF!</v>
      </c>
      <c r="CU91" t="e">
        <f>AND(#REF!,"AAAAAH577WI=")</f>
        <v>#REF!</v>
      </c>
      <c r="CV91" t="e">
        <f>AND(#REF!,"AAAAAH577WM=")</f>
        <v>#REF!</v>
      </c>
      <c r="CW91" t="e">
        <f>IF(#REF!,"AAAAAH577WQ=",0)</f>
        <v>#REF!</v>
      </c>
      <c r="CX91" t="e">
        <f>AND(#REF!,"AAAAAH577WU=")</f>
        <v>#REF!</v>
      </c>
      <c r="CY91" t="e">
        <f>AND(#REF!,"AAAAAH577WY=")</f>
        <v>#REF!</v>
      </c>
      <c r="CZ91" t="e">
        <f>AND(#REF!,"AAAAAH577Wc=")</f>
        <v>#REF!</v>
      </c>
      <c r="DA91" t="e">
        <f>AND(#REF!,"AAAAAH577Wg=")</f>
        <v>#REF!</v>
      </c>
      <c r="DB91" t="e">
        <f>AND(#REF!,"AAAAAH577Wk=")</f>
        <v>#REF!</v>
      </c>
      <c r="DC91" t="e">
        <f>AND(#REF!,"AAAAAH577Wo=")</f>
        <v>#REF!</v>
      </c>
      <c r="DD91" t="e">
        <f>IF(#REF!,"AAAAAH577Ws=",0)</f>
        <v>#REF!</v>
      </c>
      <c r="DE91" t="e">
        <f>AND(#REF!,"AAAAAH577Ww=")</f>
        <v>#REF!</v>
      </c>
      <c r="DF91" t="e">
        <f>AND(#REF!,"AAAAAH577W0=")</f>
        <v>#REF!</v>
      </c>
      <c r="DG91" t="e">
        <f>AND(#REF!,"AAAAAH577W4=")</f>
        <v>#REF!</v>
      </c>
      <c r="DH91" t="e">
        <f>AND(#REF!,"AAAAAH577W8=")</f>
        <v>#REF!</v>
      </c>
      <c r="DI91" t="e">
        <f>AND(#REF!,"AAAAAH577XA=")</f>
        <v>#REF!</v>
      </c>
      <c r="DJ91" t="e">
        <f>AND(#REF!,"AAAAAH577XE=")</f>
        <v>#REF!</v>
      </c>
      <c r="DK91" t="e">
        <f>IF(#REF!,"AAAAAH577XI=",0)</f>
        <v>#REF!</v>
      </c>
      <c r="DL91" t="e">
        <f>AND(#REF!,"AAAAAH577XM=")</f>
        <v>#REF!</v>
      </c>
      <c r="DM91" t="e">
        <f>AND(#REF!,"AAAAAH577XQ=")</f>
        <v>#REF!</v>
      </c>
      <c r="DN91" t="e">
        <f>AND(#REF!,"AAAAAH577XU=")</f>
        <v>#REF!</v>
      </c>
      <c r="DO91" t="e">
        <f>AND(#REF!,"AAAAAH577XY=")</f>
        <v>#REF!</v>
      </c>
      <c r="DP91" t="e">
        <f>AND(#REF!,"AAAAAH577Xc=")</f>
        <v>#REF!</v>
      </c>
      <c r="DQ91" t="e">
        <f>AND(#REF!,"AAAAAH577Xg=")</f>
        <v>#REF!</v>
      </c>
      <c r="DR91" t="e">
        <f>IF(#REF!,"AAAAAH577Xk=",0)</f>
        <v>#REF!</v>
      </c>
      <c r="DS91" t="e">
        <f>AND(#REF!,"AAAAAH577Xo=")</f>
        <v>#REF!</v>
      </c>
      <c r="DT91" t="e">
        <f>AND(#REF!,"AAAAAH577Xs=")</f>
        <v>#REF!</v>
      </c>
      <c r="DU91" t="e">
        <f>AND(#REF!,"AAAAAH577Xw=")</f>
        <v>#REF!</v>
      </c>
      <c r="DV91" t="e">
        <f>AND(#REF!,"AAAAAH577X0=")</f>
        <v>#REF!</v>
      </c>
      <c r="DW91" t="e">
        <f>AND(#REF!,"AAAAAH577X4=")</f>
        <v>#REF!</v>
      </c>
      <c r="DX91" t="e">
        <f>AND(#REF!,"AAAAAH577X8=")</f>
        <v>#REF!</v>
      </c>
      <c r="DY91" t="e">
        <f>IF(#REF!,"AAAAAH577YA=",0)</f>
        <v>#REF!</v>
      </c>
      <c r="DZ91" t="e">
        <f>AND(#REF!,"AAAAAH577YE=")</f>
        <v>#REF!</v>
      </c>
      <c r="EA91" t="e">
        <f>AND(#REF!,"AAAAAH577YI=")</f>
        <v>#REF!</v>
      </c>
      <c r="EB91" t="e">
        <f>AND(#REF!,"AAAAAH577YM=")</f>
        <v>#REF!</v>
      </c>
      <c r="EC91" t="e">
        <f>AND(#REF!,"AAAAAH577YQ=")</f>
        <v>#REF!</v>
      </c>
      <c r="ED91" t="e">
        <f>AND(#REF!,"AAAAAH577YU=")</f>
        <v>#REF!</v>
      </c>
      <c r="EE91" t="e">
        <f>AND(#REF!,"AAAAAH577YY=")</f>
        <v>#REF!</v>
      </c>
      <c r="EF91" t="e">
        <f>IF(#REF!,"AAAAAH577Yc=",0)</f>
        <v>#REF!</v>
      </c>
      <c r="EG91" t="e">
        <f>AND(#REF!,"AAAAAH577Yg=")</f>
        <v>#REF!</v>
      </c>
      <c r="EH91" t="e">
        <f>AND(#REF!,"AAAAAH577Yk=")</f>
        <v>#REF!</v>
      </c>
      <c r="EI91" t="e">
        <f>AND(#REF!,"AAAAAH577Yo=")</f>
        <v>#REF!</v>
      </c>
      <c r="EJ91" t="e">
        <f>AND(#REF!,"AAAAAH577Ys=")</f>
        <v>#REF!</v>
      </c>
      <c r="EK91" t="e">
        <f>AND(#REF!,"AAAAAH577Yw=")</f>
        <v>#REF!</v>
      </c>
      <c r="EL91" t="e">
        <f>AND(#REF!,"AAAAAH577Y0=")</f>
        <v>#REF!</v>
      </c>
      <c r="EM91" t="e">
        <f>IF(#REF!,"AAAAAH577Y4=",0)</f>
        <v>#REF!</v>
      </c>
      <c r="EN91" t="e">
        <f>AND(#REF!,"AAAAAH577Y8=")</f>
        <v>#REF!</v>
      </c>
      <c r="EO91" t="e">
        <f>AND(#REF!,"AAAAAH577ZA=")</f>
        <v>#REF!</v>
      </c>
      <c r="EP91" t="e">
        <f>AND(#REF!,"AAAAAH577ZE=")</f>
        <v>#REF!</v>
      </c>
      <c r="EQ91" t="e">
        <f>AND(#REF!,"AAAAAH577ZI=")</f>
        <v>#REF!</v>
      </c>
      <c r="ER91" t="e">
        <f>AND(#REF!,"AAAAAH577ZM=")</f>
        <v>#REF!</v>
      </c>
      <c r="ES91" t="e">
        <f>AND(#REF!,"AAAAAH577ZQ=")</f>
        <v>#REF!</v>
      </c>
      <c r="ET91" t="e">
        <f>IF(#REF!,"AAAAAH577ZU=",0)</f>
        <v>#REF!</v>
      </c>
      <c r="EU91" t="e">
        <f>AND(#REF!,"AAAAAH577ZY=")</f>
        <v>#REF!</v>
      </c>
      <c r="EV91" t="e">
        <f>AND(#REF!,"AAAAAH577Zc=")</f>
        <v>#REF!</v>
      </c>
      <c r="EW91" t="e">
        <f>AND(#REF!,"AAAAAH577Zg=")</f>
        <v>#REF!</v>
      </c>
      <c r="EX91" t="e">
        <f>AND(#REF!,"AAAAAH577Zk=")</f>
        <v>#REF!</v>
      </c>
      <c r="EY91" t="e">
        <f>AND(#REF!,"AAAAAH577Zo=")</f>
        <v>#REF!</v>
      </c>
      <c r="EZ91" t="e">
        <f>AND(#REF!,"AAAAAH577Zs=")</f>
        <v>#REF!</v>
      </c>
      <c r="FA91" t="e">
        <f>IF(#REF!,"AAAAAH577Zw=",0)</f>
        <v>#REF!</v>
      </c>
      <c r="FB91" t="e">
        <f>AND(#REF!,"AAAAAH577Z0=")</f>
        <v>#REF!</v>
      </c>
      <c r="FC91" t="e">
        <f>AND(#REF!,"AAAAAH577Z4=")</f>
        <v>#REF!</v>
      </c>
      <c r="FD91" t="e">
        <f>AND(#REF!,"AAAAAH577Z8=")</f>
        <v>#REF!</v>
      </c>
      <c r="FE91" t="e">
        <f>AND(#REF!,"AAAAAH577aA=")</f>
        <v>#REF!</v>
      </c>
      <c r="FF91" t="e">
        <f>AND(#REF!,"AAAAAH577aE=")</f>
        <v>#REF!</v>
      </c>
      <c r="FG91" t="e">
        <f>AND(#REF!,"AAAAAH577aI=")</f>
        <v>#REF!</v>
      </c>
      <c r="FH91" t="e">
        <f>IF(#REF!,"AAAAAH577aM=",0)</f>
        <v>#REF!</v>
      </c>
      <c r="FI91" t="e">
        <f>AND(#REF!,"AAAAAH577aQ=")</f>
        <v>#REF!</v>
      </c>
      <c r="FJ91" t="e">
        <f>AND(#REF!,"AAAAAH577aU=")</f>
        <v>#REF!</v>
      </c>
      <c r="FK91" t="e">
        <f>AND(#REF!,"AAAAAH577aY=")</f>
        <v>#REF!</v>
      </c>
      <c r="FL91" t="e">
        <f>AND(#REF!,"AAAAAH577ac=")</f>
        <v>#REF!</v>
      </c>
      <c r="FM91" t="e">
        <f>AND(#REF!,"AAAAAH577ag=")</f>
        <v>#REF!</v>
      </c>
      <c r="FN91" t="e">
        <f>AND(#REF!,"AAAAAH577ak=")</f>
        <v>#REF!</v>
      </c>
      <c r="FO91" t="e">
        <f>IF(#REF!,"AAAAAH577ao=",0)</f>
        <v>#REF!</v>
      </c>
      <c r="FP91" t="e">
        <f>AND(#REF!,"AAAAAH577as=")</f>
        <v>#REF!</v>
      </c>
      <c r="FQ91" t="e">
        <f>AND(#REF!,"AAAAAH577aw=")</f>
        <v>#REF!</v>
      </c>
      <c r="FR91" t="e">
        <f>AND(#REF!,"AAAAAH577a0=")</f>
        <v>#REF!</v>
      </c>
      <c r="FS91" t="e">
        <f>AND(#REF!,"AAAAAH577a4=")</f>
        <v>#REF!</v>
      </c>
      <c r="FT91" t="e">
        <f>AND(#REF!,"AAAAAH577a8=")</f>
        <v>#REF!</v>
      </c>
      <c r="FU91" t="e">
        <f>AND(#REF!,"AAAAAH577bA=")</f>
        <v>#REF!</v>
      </c>
      <c r="FV91" t="e">
        <f>IF(#REF!,"AAAAAH577bE=",0)</f>
        <v>#REF!</v>
      </c>
      <c r="FW91" t="e">
        <f>AND(#REF!,"AAAAAH577bI=")</f>
        <v>#REF!</v>
      </c>
      <c r="FX91" t="e">
        <f>AND(#REF!,"AAAAAH577bM=")</f>
        <v>#REF!</v>
      </c>
      <c r="FY91" t="e">
        <f>AND(#REF!,"AAAAAH577bQ=")</f>
        <v>#REF!</v>
      </c>
      <c r="FZ91" t="e">
        <f>AND(#REF!,"AAAAAH577bU=")</f>
        <v>#REF!</v>
      </c>
      <c r="GA91" t="e">
        <f>AND(#REF!,"AAAAAH577bY=")</f>
        <v>#REF!</v>
      </c>
      <c r="GB91" t="e">
        <f>AND(#REF!,"AAAAAH577bc=")</f>
        <v>#REF!</v>
      </c>
      <c r="GC91" t="e">
        <f>IF(#REF!,"AAAAAH577bg=",0)</f>
        <v>#REF!</v>
      </c>
      <c r="GD91" t="e">
        <f>AND(#REF!,"AAAAAH577bk=")</f>
        <v>#REF!</v>
      </c>
      <c r="GE91" t="e">
        <f>AND(#REF!,"AAAAAH577bo=")</f>
        <v>#REF!</v>
      </c>
      <c r="GF91" t="e">
        <f>AND(#REF!,"AAAAAH577bs=")</f>
        <v>#REF!</v>
      </c>
      <c r="GG91" t="e">
        <f>AND(#REF!,"AAAAAH577bw=")</f>
        <v>#REF!</v>
      </c>
      <c r="GH91" t="e">
        <f>AND(#REF!,"AAAAAH577b0=")</f>
        <v>#REF!</v>
      </c>
      <c r="GI91" t="e">
        <f>AND(#REF!,"AAAAAH577b4=")</f>
        <v>#REF!</v>
      </c>
      <c r="GJ91" t="e">
        <f>IF(#REF!,"AAAAAH577b8=",0)</f>
        <v>#REF!</v>
      </c>
      <c r="GK91" t="e">
        <f>AND(#REF!,"AAAAAH577cA=")</f>
        <v>#REF!</v>
      </c>
      <c r="GL91" t="e">
        <f>AND(#REF!,"AAAAAH577cE=")</f>
        <v>#REF!</v>
      </c>
      <c r="GM91" t="e">
        <f>AND(#REF!,"AAAAAH577cI=")</f>
        <v>#REF!</v>
      </c>
      <c r="GN91" t="e">
        <f>AND(#REF!,"AAAAAH577cM=")</f>
        <v>#REF!</v>
      </c>
      <c r="GO91" t="e">
        <f>AND(#REF!,"AAAAAH577cQ=")</f>
        <v>#REF!</v>
      </c>
      <c r="GP91" t="e">
        <f>AND(#REF!,"AAAAAH577cU=")</f>
        <v>#REF!</v>
      </c>
      <c r="GQ91" t="e">
        <f>IF(#REF!,"AAAAAH577cY=",0)</f>
        <v>#REF!</v>
      </c>
      <c r="GR91" t="e">
        <f>AND(#REF!,"AAAAAH577cc=")</f>
        <v>#REF!</v>
      </c>
      <c r="GS91" t="e">
        <f>AND(#REF!,"AAAAAH577cg=")</f>
        <v>#REF!</v>
      </c>
      <c r="GT91" t="e">
        <f>AND(#REF!,"AAAAAH577ck=")</f>
        <v>#REF!</v>
      </c>
      <c r="GU91" t="e">
        <f>AND(#REF!,"AAAAAH577co=")</f>
        <v>#REF!</v>
      </c>
      <c r="GV91" t="e">
        <f>AND(#REF!,"AAAAAH577cs=")</f>
        <v>#REF!</v>
      </c>
      <c r="GW91" t="e">
        <f>AND(#REF!,"AAAAAH577cw=")</f>
        <v>#REF!</v>
      </c>
      <c r="GX91" t="e">
        <f>IF(#REF!,"AAAAAH577c0=",0)</f>
        <v>#REF!</v>
      </c>
      <c r="GY91" t="e">
        <f>AND(#REF!,"AAAAAH577c4=")</f>
        <v>#REF!</v>
      </c>
      <c r="GZ91" t="e">
        <f>AND(#REF!,"AAAAAH577c8=")</f>
        <v>#REF!</v>
      </c>
      <c r="HA91" t="e">
        <f>AND(#REF!,"AAAAAH577dA=")</f>
        <v>#REF!</v>
      </c>
      <c r="HB91" t="e">
        <f>AND(#REF!,"AAAAAH577dE=")</f>
        <v>#REF!</v>
      </c>
      <c r="HC91" t="e">
        <f>AND(#REF!,"AAAAAH577dI=")</f>
        <v>#REF!</v>
      </c>
      <c r="HD91" t="e">
        <f>AND(#REF!,"AAAAAH577dM=")</f>
        <v>#REF!</v>
      </c>
      <c r="HE91" t="e">
        <f>IF(#REF!,"AAAAAH577dQ=",0)</f>
        <v>#REF!</v>
      </c>
      <c r="HF91" t="e">
        <f>AND(#REF!,"AAAAAH577dU=")</f>
        <v>#REF!</v>
      </c>
      <c r="HG91" t="e">
        <f>AND(#REF!,"AAAAAH577dY=")</f>
        <v>#REF!</v>
      </c>
      <c r="HH91" t="e">
        <f>AND(#REF!,"AAAAAH577dc=")</f>
        <v>#REF!</v>
      </c>
      <c r="HI91" t="e">
        <f>AND(#REF!,"AAAAAH577dg=")</f>
        <v>#REF!</v>
      </c>
      <c r="HJ91" t="e">
        <f>AND(#REF!,"AAAAAH577dk=")</f>
        <v>#REF!</v>
      </c>
      <c r="HK91" t="e">
        <f>AND(#REF!,"AAAAAH577do=")</f>
        <v>#REF!</v>
      </c>
      <c r="HL91" t="e">
        <f>IF(#REF!,"AAAAAH577ds=",0)</f>
        <v>#REF!</v>
      </c>
      <c r="HM91" t="e">
        <f>AND(#REF!,"AAAAAH577dw=")</f>
        <v>#REF!</v>
      </c>
      <c r="HN91" t="e">
        <f>AND(#REF!,"AAAAAH577d0=")</f>
        <v>#REF!</v>
      </c>
      <c r="HO91" t="e">
        <f>AND(#REF!,"AAAAAH577d4=")</f>
        <v>#REF!</v>
      </c>
      <c r="HP91" t="e">
        <f>AND(#REF!,"AAAAAH577d8=")</f>
        <v>#REF!</v>
      </c>
      <c r="HQ91" t="e">
        <f>AND(#REF!,"AAAAAH577eA=")</f>
        <v>#REF!</v>
      </c>
      <c r="HR91" t="e">
        <f>AND(#REF!,"AAAAAH577eE=")</f>
        <v>#REF!</v>
      </c>
      <c r="HS91" t="e">
        <f>IF(#REF!,"AAAAAH577eI=",0)</f>
        <v>#REF!</v>
      </c>
      <c r="HT91" t="e">
        <f>AND(#REF!,"AAAAAH577eM=")</f>
        <v>#REF!</v>
      </c>
      <c r="HU91" t="e">
        <f>AND(#REF!,"AAAAAH577eQ=")</f>
        <v>#REF!</v>
      </c>
      <c r="HV91" t="e">
        <f>AND(#REF!,"AAAAAH577eU=")</f>
        <v>#REF!</v>
      </c>
      <c r="HW91" t="e">
        <f>AND(#REF!,"AAAAAH577eY=")</f>
        <v>#REF!</v>
      </c>
      <c r="HX91" t="e">
        <f>AND(#REF!,"AAAAAH577ec=")</f>
        <v>#REF!</v>
      </c>
      <c r="HY91" t="e">
        <f>AND(#REF!,"AAAAAH577eg=")</f>
        <v>#REF!</v>
      </c>
      <c r="HZ91" t="e">
        <f>IF(#REF!,"AAAAAH577ek=",0)</f>
        <v>#REF!</v>
      </c>
      <c r="IA91" t="e">
        <f>AND(#REF!,"AAAAAH577eo=")</f>
        <v>#REF!</v>
      </c>
      <c r="IB91" t="e">
        <f>AND(#REF!,"AAAAAH577es=")</f>
        <v>#REF!</v>
      </c>
      <c r="IC91" t="e">
        <f>AND(#REF!,"AAAAAH577ew=")</f>
        <v>#REF!</v>
      </c>
      <c r="ID91" t="e">
        <f>AND(#REF!,"AAAAAH577e0=")</f>
        <v>#REF!</v>
      </c>
      <c r="IE91" t="e">
        <f>AND(#REF!,"AAAAAH577e4=")</f>
        <v>#REF!</v>
      </c>
      <c r="IF91" t="e">
        <f>AND(#REF!,"AAAAAH577e8=")</f>
        <v>#REF!</v>
      </c>
      <c r="IG91" t="e">
        <f>IF(#REF!,"AAAAAH577fA=",0)</f>
        <v>#REF!</v>
      </c>
      <c r="IH91" t="e">
        <f>AND(#REF!,"AAAAAH577fE=")</f>
        <v>#REF!</v>
      </c>
      <c r="II91" t="e">
        <f>AND(#REF!,"AAAAAH577fI=")</f>
        <v>#REF!</v>
      </c>
      <c r="IJ91" t="e">
        <f>AND(#REF!,"AAAAAH577fM=")</f>
        <v>#REF!</v>
      </c>
      <c r="IK91" t="e">
        <f>AND(#REF!,"AAAAAH577fQ=")</f>
        <v>#REF!</v>
      </c>
      <c r="IL91" t="e">
        <f>AND(#REF!,"AAAAAH577fU=")</f>
        <v>#REF!</v>
      </c>
      <c r="IM91" t="e">
        <f>AND(#REF!,"AAAAAH577fY=")</f>
        <v>#REF!</v>
      </c>
      <c r="IN91" t="e">
        <f>IF(#REF!,"AAAAAH577fc=",0)</f>
        <v>#REF!</v>
      </c>
      <c r="IO91" t="e">
        <f>AND(#REF!,"AAAAAH577fg=")</f>
        <v>#REF!</v>
      </c>
      <c r="IP91" t="e">
        <f>AND(#REF!,"AAAAAH577fk=")</f>
        <v>#REF!</v>
      </c>
      <c r="IQ91" t="e">
        <f>AND(#REF!,"AAAAAH577fo=")</f>
        <v>#REF!</v>
      </c>
      <c r="IR91" t="e">
        <f>AND(#REF!,"AAAAAH577fs=")</f>
        <v>#REF!</v>
      </c>
      <c r="IS91" t="e">
        <f>AND(#REF!,"AAAAAH577fw=")</f>
        <v>#REF!</v>
      </c>
      <c r="IT91" t="e">
        <f>AND(#REF!,"AAAAAH577f0=")</f>
        <v>#REF!</v>
      </c>
      <c r="IU91" t="e">
        <f>IF(#REF!,"AAAAAH577f4=",0)</f>
        <v>#REF!</v>
      </c>
      <c r="IV91" t="e">
        <f>AND(#REF!,"AAAAAH577f8=")</f>
        <v>#REF!</v>
      </c>
    </row>
    <row r="92" spans="1:256" x14ac:dyDescent="0.15">
      <c r="A92" t="e">
        <f>AND(#REF!,"AAAAAH9f9gA=")</f>
        <v>#REF!</v>
      </c>
      <c r="B92" t="e">
        <f>AND(#REF!,"AAAAAH9f9gE=")</f>
        <v>#REF!</v>
      </c>
      <c r="C92" t="e">
        <f>AND(#REF!,"AAAAAH9f9gI=")</f>
        <v>#REF!</v>
      </c>
      <c r="D92" t="e">
        <f>AND(#REF!,"AAAAAH9f9gM=")</f>
        <v>#REF!</v>
      </c>
      <c r="E92" t="e">
        <f>AND(#REF!,"AAAAAH9f9gQ=")</f>
        <v>#REF!</v>
      </c>
      <c r="F92" t="e">
        <f>IF(#REF!,"AAAAAH9f9gU=",0)</f>
        <v>#REF!</v>
      </c>
      <c r="G92" t="e">
        <f>AND(#REF!,"AAAAAH9f9gY=")</f>
        <v>#REF!</v>
      </c>
      <c r="H92" t="e">
        <f>AND(#REF!,"AAAAAH9f9gc=")</f>
        <v>#REF!</v>
      </c>
      <c r="I92" t="e">
        <f>AND(#REF!,"AAAAAH9f9gg=")</f>
        <v>#REF!</v>
      </c>
      <c r="J92" t="e">
        <f>AND(#REF!,"AAAAAH9f9gk=")</f>
        <v>#REF!</v>
      </c>
      <c r="K92" t="e">
        <f>AND(#REF!,"AAAAAH9f9go=")</f>
        <v>#REF!</v>
      </c>
      <c r="L92" t="e">
        <f>AND(#REF!,"AAAAAH9f9gs=")</f>
        <v>#REF!</v>
      </c>
      <c r="M92" t="e">
        <f>IF(#REF!,"AAAAAH9f9gw=",0)</f>
        <v>#REF!</v>
      </c>
      <c r="N92" t="e">
        <f>AND(#REF!,"AAAAAH9f9g0=")</f>
        <v>#REF!</v>
      </c>
      <c r="O92" t="e">
        <f>AND(#REF!,"AAAAAH9f9g4=")</f>
        <v>#REF!</v>
      </c>
      <c r="P92" t="e">
        <f>AND(#REF!,"AAAAAH9f9g8=")</f>
        <v>#REF!</v>
      </c>
      <c r="Q92" t="e">
        <f>AND(#REF!,"AAAAAH9f9hA=")</f>
        <v>#REF!</v>
      </c>
      <c r="R92" t="e">
        <f>AND(#REF!,"AAAAAH9f9hE=")</f>
        <v>#REF!</v>
      </c>
      <c r="S92" t="e">
        <f>AND(#REF!,"AAAAAH9f9hI=")</f>
        <v>#REF!</v>
      </c>
      <c r="T92" t="e">
        <f>IF(#REF!,"AAAAAH9f9hM=",0)</f>
        <v>#REF!</v>
      </c>
      <c r="U92" t="e">
        <f>AND(#REF!,"AAAAAH9f9hQ=")</f>
        <v>#REF!</v>
      </c>
      <c r="V92" t="e">
        <f>AND(#REF!,"AAAAAH9f9hU=")</f>
        <v>#REF!</v>
      </c>
      <c r="W92" t="e">
        <f>AND(#REF!,"AAAAAH9f9hY=")</f>
        <v>#REF!</v>
      </c>
      <c r="X92" t="e">
        <f>AND(#REF!,"AAAAAH9f9hc=")</f>
        <v>#REF!</v>
      </c>
      <c r="Y92" t="e">
        <f>AND(#REF!,"AAAAAH9f9hg=")</f>
        <v>#REF!</v>
      </c>
      <c r="Z92" t="e">
        <f>AND(#REF!,"AAAAAH9f9hk=")</f>
        <v>#REF!</v>
      </c>
      <c r="AA92" t="e">
        <f>IF(#REF!,"AAAAAH9f9ho=",0)</f>
        <v>#REF!</v>
      </c>
      <c r="AB92" t="e">
        <f>AND(#REF!,"AAAAAH9f9hs=")</f>
        <v>#REF!</v>
      </c>
      <c r="AC92" t="e">
        <f>AND(#REF!,"AAAAAH9f9hw=")</f>
        <v>#REF!</v>
      </c>
      <c r="AD92" t="e">
        <f>AND(#REF!,"AAAAAH9f9h0=")</f>
        <v>#REF!</v>
      </c>
      <c r="AE92" t="e">
        <f>AND(#REF!,"AAAAAH9f9h4=")</f>
        <v>#REF!</v>
      </c>
      <c r="AF92" t="e">
        <f>AND(#REF!,"AAAAAH9f9h8=")</f>
        <v>#REF!</v>
      </c>
      <c r="AG92" t="e">
        <f>AND(#REF!,"AAAAAH9f9iA=")</f>
        <v>#REF!</v>
      </c>
      <c r="AH92" t="e">
        <f>IF(#REF!,"AAAAAH9f9iE=",0)</f>
        <v>#REF!</v>
      </c>
      <c r="AI92" t="e">
        <f>AND(#REF!,"AAAAAH9f9iI=")</f>
        <v>#REF!</v>
      </c>
      <c r="AJ92" t="e">
        <f>AND(#REF!,"AAAAAH9f9iM=")</f>
        <v>#REF!</v>
      </c>
      <c r="AK92" t="e">
        <f>AND(#REF!,"AAAAAH9f9iQ=")</f>
        <v>#REF!</v>
      </c>
      <c r="AL92" t="e">
        <f>AND(#REF!,"AAAAAH9f9iU=")</f>
        <v>#REF!</v>
      </c>
      <c r="AM92" t="e">
        <f>AND(#REF!,"AAAAAH9f9iY=")</f>
        <v>#REF!</v>
      </c>
      <c r="AN92" t="e">
        <f>AND(#REF!,"AAAAAH9f9ic=")</f>
        <v>#REF!</v>
      </c>
      <c r="AO92" t="e">
        <f>IF(#REF!,"AAAAAH9f9ig=",0)</f>
        <v>#REF!</v>
      </c>
      <c r="AP92" t="e">
        <f>AND(#REF!,"AAAAAH9f9ik=")</f>
        <v>#REF!</v>
      </c>
      <c r="AQ92" t="e">
        <f>AND(#REF!,"AAAAAH9f9io=")</f>
        <v>#REF!</v>
      </c>
      <c r="AR92" t="e">
        <f>AND(#REF!,"AAAAAH9f9is=")</f>
        <v>#REF!</v>
      </c>
      <c r="AS92" t="e">
        <f>AND(#REF!,"AAAAAH9f9iw=")</f>
        <v>#REF!</v>
      </c>
      <c r="AT92" t="e">
        <f>AND(#REF!,"AAAAAH9f9i0=")</f>
        <v>#REF!</v>
      </c>
      <c r="AU92" t="e">
        <f>AND(#REF!,"AAAAAH9f9i4=")</f>
        <v>#REF!</v>
      </c>
      <c r="AV92" t="e">
        <f>IF(#REF!,"AAAAAH9f9i8=",0)</f>
        <v>#REF!</v>
      </c>
      <c r="AW92" t="e">
        <f>AND(#REF!,"AAAAAH9f9jA=")</f>
        <v>#REF!</v>
      </c>
      <c r="AX92" t="e">
        <f>AND(#REF!,"AAAAAH9f9jE=")</f>
        <v>#REF!</v>
      </c>
      <c r="AY92" t="e">
        <f>AND(#REF!,"AAAAAH9f9jI=")</f>
        <v>#REF!</v>
      </c>
      <c r="AZ92" t="e">
        <f>AND(#REF!,"AAAAAH9f9jM=")</f>
        <v>#REF!</v>
      </c>
      <c r="BA92" t="e">
        <f>AND(#REF!,"AAAAAH9f9jQ=")</f>
        <v>#REF!</v>
      </c>
      <c r="BB92" t="e">
        <f>AND(#REF!,"AAAAAH9f9jU=")</f>
        <v>#REF!</v>
      </c>
      <c r="BC92" t="e">
        <f>IF(#REF!,"AAAAAH9f9jY=",0)</f>
        <v>#REF!</v>
      </c>
      <c r="BD92" t="e">
        <f>AND(#REF!,"AAAAAH9f9jc=")</f>
        <v>#REF!</v>
      </c>
      <c r="BE92" t="e">
        <f>AND(#REF!,"AAAAAH9f9jg=")</f>
        <v>#REF!</v>
      </c>
      <c r="BF92" t="e">
        <f>AND(#REF!,"AAAAAH9f9jk=")</f>
        <v>#REF!</v>
      </c>
      <c r="BG92" t="e">
        <f>AND(#REF!,"AAAAAH9f9jo=")</f>
        <v>#REF!</v>
      </c>
      <c r="BH92" t="e">
        <f>AND(#REF!,"AAAAAH9f9js=")</f>
        <v>#REF!</v>
      </c>
      <c r="BI92" t="e">
        <f>AND(#REF!,"AAAAAH9f9jw=")</f>
        <v>#REF!</v>
      </c>
      <c r="BJ92" t="e">
        <f>IF(#REF!,"AAAAAH9f9j0=",0)</f>
        <v>#REF!</v>
      </c>
      <c r="BK92" t="e">
        <f>AND(#REF!,"AAAAAH9f9j4=")</f>
        <v>#REF!</v>
      </c>
      <c r="BL92" t="e">
        <f>AND(#REF!,"AAAAAH9f9j8=")</f>
        <v>#REF!</v>
      </c>
      <c r="BM92" t="e">
        <f>AND(#REF!,"AAAAAH9f9kA=")</f>
        <v>#REF!</v>
      </c>
      <c r="BN92" t="e">
        <f>AND(#REF!,"AAAAAH9f9kE=")</f>
        <v>#REF!</v>
      </c>
      <c r="BO92" t="e">
        <f>AND(#REF!,"AAAAAH9f9kI=")</f>
        <v>#REF!</v>
      </c>
      <c r="BP92" t="e">
        <f>AND(#REF!,"AAAAAH9f9kM=")</f>
        <v>#REF!</v>
      </c>
      <c r="BQ92" t="e">
        <f>IF(#REF!,"AAAAAH9f9kQ=",0)</f>
        <v>#REF!</v>
      </c>
      <c r="BR92" t="e">
        <f>AND(#REF!,"AAAAAH9f9kU=")</f>
        <v>#REF!</v>
      </c>
      <c r="BS92" t="e">
        <f>AND(#REF!,"AAAAAH9f9kY=")</f>
        <v>#REF!</v>
      </c>
      <c r="BT92" t="e">
        <f>AND(#REF!,"AAAAAH9f9kc=")</f>
        <v>#REF!</v>
      </c>
      <c r="BU92" t="e">
        <f>AND(#REF!,"AAAAAH9f9kg=")</f>
        <v>#REF!</v>
      </c>
      <c r="BV92" t="e">
        <f>AND(#REF!,"AAAAAH9f9kk=")</f>
        <v>#REF!</v>
      </c>
      <c r="BW92" t="e">
        <f>AND(#REF!,"AAAAAH9f9ko=")</f>
        <v>#REF!</v>
      </c>
      <c r="BX92" t="e">
        <f>IF(#REF!,"AAAAAH9f9ks=",0)</f>
        <v>#REF!</v>
      </c>
      <c r="BY92" t="e">
        <f>AND(#REF!,"AAAAAH9f9kw=")</f>
        <v>#REF!</v>
      </c>
      <c r="BZ92" t="e">
        <f>AND(#REF!,"AAAAAH9f9k0=")</f>
        <v>#REF!</v>
      </c>
      <c r="CA92" t="e">
        <f>AND(#REF!,"AAAAAH9f9k4=")</f>
        <v>#REF!</v>
      </c>
      <c r="CB92" t="e">
        <f>AND(#REF!,"AAAAAH9f9k8=")</f>
        <v>#REF!</v>
      </c>
      <c r="CC92" t="e">
        <f>AND(#REF!,"AAAAAH9f9lA=")</f>
        <v>#REF!</v>
      </c>
      <c r="CD92" t="e">
        <f>AND(#REF!,"AAAAAH9f9lE=")</f>
        <v>#REF!</v>
      </c>
      <c r="CE92" t="e">
        <f>IF(#REF!,"AAAAAH9f9lI=",0)</f>
        <v>#REF!</v>
      </c>
      <c r="CF92" t="e">
        <f>AND(#REF!,"AAAAAH9f9lM=")</f>
        <v>#REF!</v>
      </c>
      <c r="CG92" t="e">
        <f>AND(#REF!,"AAAAAH9f9lQ=")</f>
        <v>#REF!</v>
      </c>
      <c r="CH92" t="e">
        <f>AND(#REF!,"AAAAAH9f9lU=")</f>
        <v>#REF!</v>
      </c>
      <c r="CI92" t="e">
        <f>AND(#REF!,"AAAAAH9f9lY=")</f>
        <v>#REF!</v>
      </c>
      <c r="CJ92" t="e">
        <f>AND(#REF!,"AAAAAH9f9lc=")</f>
        <v>#REF!</v>
      </c>
      <c r="CK92" t="e">
        <f>AND(#REF!,"AAAAAH9f9lg=")</f>
        <v>#REF!</v>
      </c>
      <c r="CL92" t="e">
        <f>IF(#REF!,"AAAAAH9f9lk=",0)</f>
        <v>#REF!</v>
      </c>
      <c r="CM92" t="e">
        <f>AND(#REF!,"AAAAAH9f9lo=")</f>
        <v>#REF!</v>
      </c>
      <c r="CN92" t="e">
        <f>AND(#REF!,"AAAAAH9f9ls=")</f>
        <v>#REF!</v>
      </c>
      <c r="CO92" t="e">
        <f>AND(#REF!,"AAAAAH9f9lw=")</f>
        <v>#REF!</v>
      </c>
      <c r="CP92" t="e">
        <f>AND(#REF!,"AAAAAH9f9l0=")</f>
        <v>#REF!</v>
      </c>
      <c r="CQ92" t="e">
        <f>AND(#REF!,"AAAAAH9f9l4=")</f>
        <v>#REF!</v>
      </c>
      <c r="CR92" t="e">
        <f>AND(#REF!,"AAAAAH9f9l8=")</f>
        <v>#REF!</v>
      </c>
      <c r="CS92" t="e">
        <f>IF(#REF!,"AAAAAH9f9mA=",0)</f>
        <v>#REF!</v>
      </c>
      <c r="CT92" t="e">
        <f>AND(#REF!,"AAAAAH9f9mE=")</f>
        <v>#REF!</v>
      </c>
      <c r="CU92" t="e">
        <f>AND(#REF!,"AAAAAH9f9mI=")</f>
        <v>#REF!</v>
      </c>
      <c r="CV92" t="e">
        <f>AND(#REF!,"AAAAAH9f9mM=")</f>
        <v>#REF!</v>
      </c>
      <c r="CW92" t="e">
        <f>AND(#REF!,"AAAAAH9f9mQ=")</f>
        <v>#REF!</v>
      </c>
      <c r="CX92" t="e">
        <f>AND(#REF!,"AAAAAH9f9mU=")</f>
        <v>#REF!</v>
      </c>
      <c r="CY92" t="e">
        <f>AND(#REF!,"AAAAAH9f9mY=")</f>
        <v>#REF!</v>
      </c>
      <c r="CZ92" t="e">
        <f>IF(#REF!,"AAAAAH9f9mc=",0)</f>
        <v>#REF!</v>
      </c>
      <c r="DA92" t="e">
        <f>AND(#REF!,"AAAAAH9f9mg=")</f>
        <v>#REF!</v>
      </c>
      <c r="DB92" t="e">
        <f>AND(#REF!,"AAAAAH9f9mk=")</f>
        <v>#REF!</v>
      </c>
      <c r="DC92" t="e">
        <f>AND(#REF!,"AAAAAH9f9mo=")</f>
        <v>#REF!</v>
      </c>
      <c r="DD92" t="e">
        <f>AND(#REF!,"AAAAAH9f9ms=")</f>
        <v>#REF!</v>
      </c>
      <c r="DE92" t="e">
        <f>AND(#REF!,"AAAAAH9f9mw=")</f>
        <v>#REF!</v>
      </c>
      <c r="DF92" t="e">
        <f>AND(#REF!,"AAAAAH9f9m0=")</f>
        <v>#REF!</v>
      </c>
      <c r="DG92" t="e">
        <f>IF(#REF!,"AAAAAH9f9m4=",0)</f>
        <v>#REF!</v>
      </c>
      <c r="DH92" t="e">
        <f>AND(#REF!,"AAAAAH9f9m8=")</f>
        <v>#REF!</v>
      </c>
      <c r="DI92" t="e">
        <f>AND(#REF!,"AAAAAH9f9nA=")</f>
        <v>#REF!</v>
      </c>
      <c r="DJ92" t="e">
        <f>AND(#REF!,"AAAAAH9f9nE=")</f>
        <v>#REF!</v>
      </c>
      <c r="DK92" t="e">
        <f>AND(#REF!,"AAAAAH9f9nI=")</f>
        <v>#REF!</v>
      </c>
      <c r="DL92" t="e">
        <f>AND(#REF!,"AAAAAH9f9nM=")</f>
        <v>#REF!</v>
      </c>
      <c r="DM92" t="e">
        <f>AND(#REF!,"AAAAAH9f9nQ=")</f>
        <v>#REF!</v>
      </c>
      <c r="DN92" t="e">
        <f>IF(#REF!,"AAAAAH9f9nU=",0)</f>
        <v>#REF!</v>
      </c>
      <c r="DO92" t="e">
        <f>AND(#REF!,"AAAAAH9f9nY=")</f>
        <v>#REF!</v>
      </c>
      <c r="DP92" t="e">
        <f>AND(#REF!,"AAAAAH9f9nc=")</f>
        <v>#REF!</v>
      </c>
      <c r="DQ92" t="e">
        <f>AND(#REF!,"AAAAAH9f9ng=")</f>
        <v>#REF!</v>
      </c>
      <c r="DR92" t="e">
        <f>AND(#REF!,"AAAAAH9f9nk=")</f>
        <v>#REF!</v>
      </c>
      <c r="DS92" t="e">
        <f>AND(#REF!,"AAAAAH9f9no=")</f>
        <v>#REF!</v>
      </c>
      <c r="DT92" t="e">
        <f>AND(#REF!,"AAAAAH9f9ns=")</f>
        <v>#REF!</v>
      </c>
      <c r="DU92" t="e">
        <f>IF(#REF!,"AAAAAH9f9nw=",0)</f>
        <v>#REF!</v>
      </c>
      <c r="DV92" t="e">
        <f>AND(#REF!,"AAAAAH9f9n0=")</f>
        <v>#REF!</v>
      </c>
      <c r="DW92" t="e">
        <f>AND(#REF!,"AAAAAH9f9n4=")</f>
        <v>#REF!</v>
      </c>
      <c r="DX92" t="e">
        <f>AND(#REF!,"AAAAAH9f9n8=")</f>
        <v>#REF!</v>
      </c>
      <c r="DY92" t="e">
        <f>AND(#REF!,"AAAAAH9f9oA=")</f>
        <v>#REF!</v>
      </c>
      <c r="DZ92" t="e">
        <f>AND(#REF!,"AAAAAH9f9oE=")</f>
        <v>#REF!</v>
      </c>
      <c r="EA92" t="e">
        <f>AND(#REF!,"AAAAAH9f9oI=")</f>
        <v>#REF!</v>
      </c>
      <c r="EB92" t="e">
        <f>IF(#REF!,"AAAAAH9f9oM=",0)</f>
        <v>#REF!</v>
      </c>
      <c r="EC92" t="e">
        <f>AND(#REF!,"AAAAAH9f9oQ=")</f>
        <v>#REF!</v>
      </c>
      <c r="ED92" t="e">
        <f>AND(#REF!,"AAAAAH9f9oU=")</f>
        <v>#REF!</v>
      </c>
      <c r="EE92" t="e">
        <f>AND(#REF!,"AAAAAH9f9oY=")</f>
        <v>#REF!</v>
      </c>
      <c r="EF92" t="e">
        <f>AND(#REF!,"AAAAAH9f9oc=")</f>
        <v>#REF!</v>
      </c>
      <c r="EG92" t="e">
        <f>AND(#REF!,"AAAAAH9f9og=")</f>
        <v>#REF!</v>
      </c>
      <c r="EH92" t="e">
        <f>AND(#REF!,"AAAAAH9f9ok=")</f>
        <v>#REF!</v>
      </c>
      <c r="EI92" t="e">
        <f>IF(#REF!,"AAAAAH9f9oo=",0)</f>
        <v>#REF!</v>
      </c>
      <c r="EJ92" t="e">
        <f>AND(#REF!,"AAAAAH9f9os=")</f>
        <v>#REF!</v>
      </c>
      <c r="EK92" t="e">
        <f>AND(#REF!,"AAAAAH9f9ow=")</f>
        <v>#REF!</v>
      </c>
      <c r="EL92" t="e">
        <f>AND(#REF!,"AAAAAH9f9o0=")</f>
        <v>#REF!</v>
      </c>
      <c r="EM92" t="e">
        <f>AND(#REF!,"AAAAAH9f9o4=")</f>
        <v>#REF!</v>
      </c>
      <c r="EN92" t="e">
        <f>AND(#REF!,"AAAAAH9f9o8=")</f>
        <v>#REF!</v>
      </c>
      <c r="EO92" t="e">
        <f>AND(#REF!,"AAAAAH9f9pA=")</f>
        <v>#REF!</v>
      </c>
      <c r="EP92" t="e">
        <f>IF(#REF!,"AAAAAH9f9pE=",0)</f>
        <v>#REF!</v>
      </c>
      <c r="EQ92" t="e">
        <f>AND(#REF!,"AAAAAH9f9pI=")</f>
        <v>#REF!</v>
      </c>
      <c r="ER92" t="e">
        <f>AND(#REF!,"AAAAAH9f9pM=")</f>
        <v>#REF!</v>
      </c>
      <c r="ES92" t="e">
        <f>AND(#REF!,"AAAAAH9f9pQ=")</f>
        <v>#REF!</v>
      </c>
      <c r="ET92" t="e">
        <f>AND(#REF!,"AAAAAH9f9pU=")</f>
        <v>#REF!</v>
      </c>
      <c r="EU92" t="e">
        <f>AND(#REF!,"AAAAAH9f9pY=")</f>
        <v>#REF!</v>
      </c>
      <c r="EV92" t="e">
        <f>AND(#REF!,"AAAAAH9f9pc=")</f>
        <v>#REF!</v>
      </c>
      <c r="EW92" t="e">
        <f>IF(#REF!,"AAAAAH9f9pg=",0)</f>
        <v>#REF!</v>
      </c>
      <c r="EX92" t="e">
        <f>AND(#REF!,"AAAAAH9f9pk=")</f>
        <v>#REF!</v>
      </c>
      <c r="EY92" t="e">
        <f>AND(#REF!,"AAAAAH9f9po=")</f>
        <v>#REF!</v>
      </c>
      <c r="EZ92" t="e">
        <f>AND(#REF!,"AAAAAH9f9ps=")</f>
        <v>#REF!</v>
      </c>
      <c r="FA92" t="e">
        <f>AND(#REF!,"AAAAAH9f9pw=")</f>
        <v>#REF!</v>
      </c>
      <c r="FB92" t="e">
        <f>AND(#REF!,"AAAAAH9f9p0=")</f>
        <v>#REF!</v>
      </c>
      <c r="FC92" t="e">
        <f>AND(#REF!,"AAAAAH9f9p4=")</f>
        <v>#REF!</v>
      </c>
      <c r="FD92" t="e">
        <f>IF(#REF!,"AAAAAH9f9p8=",0)</f>
        <v>#REF!</v>
      </c>
      <c r="FE92" t="e">
        <f>AND(#REF!,"AAAAAH9f9qA=")</f>
        <v>#REF!</v>
      </c>
      <c r="FF92" t="e">
        <f>AND(#REF!,"AAAAAH9f9qE=")</f>
        <v>#REF!</v>
      </c>
      <c r="FG92" t="e">
        <f>AND(#REF!,"AAAAAH9f9qI=")</f>
        <v>#REF!</v>
      </c>
      <c r="FH92" t="e">
        <f>AND(#REF!,"AAAAAH9f9qM=")</f>
        <v>#REF!</v>
      </c>
      <c r="FI92" t="e">
        <f>AND(#REF!,"AAAAAH9f9qQ=")</f>
        <v>#REF!</v>
      </c>
      <c r="FJ92" t="e">
        <f>AND(#REF!,"AAAAAH9f9qU=")</f>
        <v>#REF!</v>
      </c>
      <c r="FK92" t="e">
        <f>IF(#REF!,"AAAAAH9f9qY=",0)</f>
        <v>#REF!</v>
      </c>
      <c r="FL92" t="e">
        <f>AND(#REF!,"AAAAAH9f9qc=")</f>
        <v>#REF!</v>
      </c>
      <c r="FM92" t="e">
        <f>AND(#REF!,"AAAAAH9f9qg=")</f>
        <v>#REF!</v>
      </c>
      <c r="FN92" t="e">
        <f>AND(#REF!,"AAAAAH9f9qk=")</f>
        <v>#REF!</v>
      </c>
      <c r="FO92" t="e">
        <f>AND(#REF!,"AAAAAH9f9qo=")</f>
        <v>#REF!</v>
      </c>
      <c r="FP92" t="e">
        <f>AND(#REF!,"AAAAAH9f9qs=")</f>
        <v>#REF!</v>
      </c>
      <c r="FQ92" t="e">
        <f>AND(#REF!,"AAAAAH9f9qw=")</f>
        <v>#REF!</v>
      </c>
      <c r="FR92" t="e">
        <f>IF(#REF!,"AAAAAH9f9q0=",0)</f>
        <v>#REF!</v>
      </c>
      <c r="FS92" t="e">
        <f>AND(#REF!,"AAAAAH9f9q4=")</f>
        <v>#REF!</v>
      </c>
      <c r="FT92" t="e">
        <f>AND(#REF!,"AAAAAH9f9q8=")</f>
        <v>#REF!</v>
      </c>
      <c r="FU92" t="e">
        <f>AND(#REF!,"AAAAAH9f9rA=")</f>
        <v>#REF!</v>
      </c>
      <c r="FV92" t="e">
        <f>AND(#REF!,"AAAAAH9f9rE=")</f>
        <v>#REF!</v>
      </c>
      <c r="FW92" t="e">
        <f>AND(#REF!,"AAAAAH9f9rI=")</f>
        <v>#REF!</v>
      </c>
      <c r="FX92" t="e">
        <f>AND(#REF!,"AAAAAH9f9rM=")</f>
        <v>#REF!</v>
      </c>
      <c r="FY92" t="e">
        <f>IF(#REF!,"AAAAAH9f9rQ=",0)</f>
        <v>#REF!</v>
      </c>
      <c r="FZ92" t="e">
        <f>AND(#REF!,"AAAAAH9f9rU=")</f>
        <v>#REF!</v>
      </c>
      <c r="GA92" t="e">
        <f>AND(#REF!,"AAAAAH9f9rY=")</f>
        <v>#REF!</v>
      </c>
      <c r="GB92" t="e">
        <f>AND(#REF!,"AAAAAH9f9rc=")</f>
        <v>#REF!</v>
      </c>
      <c r="GC92" t="e">
        <f>AND(#REF!,"AAAAAH9f9rg=")</f>
        <v>#REF!</v>
      </c>
      <c r="GD92" t="e">
        <f>AND(#REF!,"AAAAAH9f9rk=")</f>
        <v>#REF!</v>
      </c>
      <c r="GE92" t="e">
        <f>AND(#REF!,"AAAAAH9f9ro=")</f>
        <v>#REF!</v>
      </c>
      <c r="GF92" t="e">
        <f>IF(#REF!,"AAAAAH9f9rs=",0)</f>
        <v>#REF!</v>
      </c>
      <c r="GG92" t="e">
        <f>AND(#REF!,"AAAAAH9f9rw=")</f>
        <v>#REF!</v>
      </c>
      <c r="GH92" t="e">
        <f>AND(#REF!,"AAAAAH9f9r0=")</f>
        <v>#REF!</v>
      </c>
      <c r="GI92" t="e">
        <f>AND(#REF!,"AAAAAH9f9r4=")</f>
        <v>#REF!</v>
      </c>
      <c r="GJ92" t="e">
        <f>AND(#REF!,"AAAAAH9f9r8=")</f>
        <v>#REF!</v>
      </c>
      <c r="GK92" t="e">
        <f>AND(#REF!,"AAAAAH9f9sA=")</f>
        <v>#REF!</v>
      </c>
      <c r="GL92" t="e">
        <f>AND(#REF!,"AAAAAH9f9sE=")</f>
        <v>#REF!</v>
      </c>
      <c r="GM92" t="e">
        <f>IF(#REF!,"AAAAAH9f9sI=",0)</f>
        <v>#REF!</v>
      </c>
      <c r="GN92" t="e">
        <f>AND(#REF!,"AAAAAH9f9sM=")</f>
        <v>#REF!</v>
      </c>
      <c r="GO92" t="e">
        <f>AND(#REF!,"AAAAAH9f9sQ=")</f>
        <v>#REF!</v>
      </c>
      <c r="GP92" t="e">
        <f>AND(#REF!,"AAAAAH9f9sU=")</f>
        <v>#REF!</v>
      </c>
      <c r="GQ92" t="e">
        <f>AND(#REF!,"AAAAAH9f9sY=")</f>
        <v>#REF!</v>
      </c>
      <c r="GR92" t="e">
        <f>AND(#REF!,"AAAAAH9f9sc=")</f>
        <v>#REF!</v>
      </c>
      <c r="GS92" t="e">
        <f>AND(#REF!,"AAAAAH9f9sg=")</f>
        <v>#REF!</v>
      </c>
      <c r="GT92" t="e">
        <f>IF(#REF!,"AAAAAH9f9sk=",0)</f>
        <v>#REF!</v>
      </c>
      <c r="GU92" t="e">
        <f>AND(#REF!,"AAAAAH9f9so=")</f>
        <v>#REF!</v>
      </c>
      <c r="GV92" t="e">
        <f>AND(#REF!,"AAAAAH9f9ss=")</f>
        <v>#REF!</v>
      </c>
      <c r="GW92" t="e">
        <f>AND(#REF!,"AAAAAH9f9sw=")</f>
        <v>#REF!</v>
      </c>
      <c r="GX92" t="e">
        <f>AND(#REF!,"AAAAAH9f9s0=")</f>
        <v>#REF!</v>
      </c>
      <c r="GY92" t="e">
        <f>AND(#REF!,"AAAAAH9f9s4=")</f>
        <v>#REF!</v>
      </c>
      <c r="GZ92" t="e">
        <f>AND(#REF!,"AAAAAH9f9s8=")</f>
        <v>#REF!</v>
      </c>
      <c r="HA92" t="e">
        <f>IF(#REF!,"AAAAAH9f9tA=",0)</f>
        <v>#REF!</v>
      </c>
      <c r="HB92" t="e">
        <f>AND(#REF!,"AAAAAH9f9tE=")</f>
        <v>#REF!</v>
      </c>
      <c r="HC92" t="e">
        <f>AND(#REF!,"AAAAAH9f9tI=")</f>
        <v>#REF!</v>
      </c>
      <c r="HD92" t="e">
        <f>AND(#REF!,"AAAAAH9f9tM=")</f>
        <v>#REF!</v>
      </c>
      <c r="HE92" t="e">
        <f>AND(#REF!,"AAAAAH9f9tQ=")</f>
        <v>#REF!</v>
      </c>
      <c r="HF92" t="e">
        <f>AND(#REF!,"AAAAAH9f9tU=")</f>
        <v>#REF!</v>
      </c>
      <c r="HG92" t="e">
        <f>AND(#REF!,"AAAAAH9f9tY=")</f>
        <v>#REF!</v>
      </c>
      <c r="HH92" t="e">
        <f>IF(#REF!,"AAAAAH9f9tc=",0)</f>
        <v>#REF!</v>
      </c>
      <c r="HI92" t="e">
        <f>AND(#REF!,"AAAAAH9f9tg=")</f>
        <v>#REF!</v>
      </c>
      <c r="HJ92" t="e">
        <f>AND(#REF!,"AAAAAH9f9tk=")</f>
        <v>#REF!</v>
      </c>
      <c r="HK92" t="e">
        <f>AND(#REF!,"AAAAAH9f9to=")</f>
        <v>#REF!</v>
      </c>
      <c r="HL92" t="e">
        <f>AND(#REF!,"AAAAAH9f9ts=")</f>
        <v>#REF!</v>
      </c>
      <c r="HM92" t="e">
        <f>AND(#REF!,"AAAAAH9f9tw=")</f>
        <v>#REF!</v>
      </c>
      <c r="HN92" t="e">
        <f>AND(#REF!,"AAAAAH9f9t0=")</f>
        <v>#REF!</v>
      </c>
      <c r="HO92" t="e">
        <f>IF(#REF!,"AAAAAH9f9t4=",0)</f>
        <v>#REF!</v>
      </c>
      <c r="HP92" t="e">
        <f>AND(#REF!,"AAAAAH9f9t8=")</f>
        <v>#REF!</v>
      </c>
      <c r="HQ92" t="e">
        <f>AND(#REF!,"AAAAAH9f9uA=")</f>
        <v>#REF!</v>
      </c>
      <c r="HR92" t="e">
        <f>AND(#REF!,"AAAAAH9f9uE=")</f>
        <v>#REF!</v>
      </c>
      <c r="HS92" t="e">
        <f>AND(#REF!,"AAAAAH9f9uI=")</f>
        <v>#REF!</v>
      </c>
      <c r="HT92" t="e">
        <f>AND(#REF!,"AAAAAH9f9uM=")</f>
        <v>#REF!</v>
      </c>
      <c r="HU92" t="e">
        <f>AND(#REF!,"AAAAAH9f9uQ=")</f>
        <v>#REF!</v>
      </c>
      <c r="HV92" t="e">
        <f>IF(#REF!,"AAAAAH9f9uU=",0)</f>
        <v>#REF!</v>
      </c>
      <c r="HW92" t="e">
        <f>AND(#REF!,"AAAAAH9f9uY=")</f>
        <v>#REF!</v>
      </c>
      <c r="HX92" t="e">
        <f>AND(#REF!,"AAAAAH9f9uc=")</f>
        <v>#REF!</v>
      </c>
      <c r="HY92" t="e">
        <f>AND(#REF!,"AAAAAH9f9ug=")</f>
        <v>#REF!</v>
      </c>
      <c r="HZ92" t="e">
        <f>AND(#REF!,"AAAAAH9f9uk=")</f>
        <v>#REF!</v>
      </c>
      <c r="IA92" t="e">
        <f>AND(#REF!,"AAAAAH9f9uo=")</f>
        <v>#REF!</v>
      </c>
      <c r="IB92" t="e">
        <f>AND(#REF!,"AAAAAH9f9us=")</f>
        <v>#REF!</v>
      </c>
      <c r="IC92" t="e">
        <f>IF(#REF!,"AAAAAH9f9uw=",0)</f>
        <v>#REF!</v>
      </c>
      <c r="ID92" t="e">
        <f>AND(#REF!,"AAAAAH9f9u0=")</f>
        <v>#REF!</v>
      </c>
      <c r="IE92" t="e">
        <f>AND(#REF!,"AAAAAH9f9u4=")</f>
        <v>#REF!</v>
      </c>
      <c r="IF92" t="e">
        <f>AND(#REF!,"AAAAAH9f9u8=")</f>
        <v>#REF!</v>
      </c>
      <c r="IG92" t="e">
        <f>AND(#REF!,"AAAAAH9f9vA=")</f>
        <v>#REF!</v>
      </c>
      <c r="IH92" t="e">
        <f>AND(#REF!,"AAAAAH9f9vE=")</f>
        <v>#REF!</v>
      </c>
      <c r="II92" t="e">
        <f>AND(#REF!,"AAAAAH9f9vI=")</f>
        <v>#REF!</v>
      </c>
      <c r="IJ92" t="e">
        <f>IF(#REF!,"AAAAAH9f9vM=",0)</f>
        <v>#REF!</v>
      </c>
      <c r="IK92" t="e">
        <f>AND(#REF!,"AAAAAH9f9vQ=")</f>
        <v>#REF!</v>
      </c>
      <c r="IL92" t="e">
        <f>AND(#REF!,"AAAAAH9f9vU=")</f>
        <v>#REF!</v>
      </c>
      <c r="IM92" t="e">
        <f>AND(#REF!,"AAAAAH9f9vY=")</f>
        <v>#REF!</v>
      </c>
      <c r="IN92" t="e">
        <f>AND(#REF!,"AAAAAH9f9vc=")</f>
        <v>#REF!</v>
      </c>
      <c r="IO92" t="e">
        <f>AND(#REF!,"AAAAAH9f9vg=")</f>
        <v>#REF!</v>
      </c>
      <c r="IP92" t="e">
        <f>AND(#REF!,"AAAAAH9f9vk=")</f>
        <v>#REF!</v>
      </c>
      <c r="IQ92" t="e">
        <f>IF(#REF!,"AAAAAH9f9vo=",0)</f>
        <v>#REF!</v>
      </c>
      <c r="IR92" t="e">
        <f>AND(#REF!,"AAAAAH9f9vs=")</f>
        <v>#REF!</v>
      </c>
      <c r="IS92" t="e">
        <f>AND(#REF!,"AAAAAH9f9vw=")</f>
        <v>#REF!</v>
      </c>
      <c r="IT92" t="e">
        <f>AND(#REF!,"AAAAAH9f9v0=")</f>
        <v>#REF!</v>
      </c>
      <c r="IU92" t="e">
        <f>AND(#REF!,"AAAAAH9f9v4=")</f>
        <v>#REF!</v>
      </c>
      <c r="IV92" t="e">
        <f>AND(#REF!,"AAAAAH9f9v8=")</f>
        <v>#REF!</v>
      </c>
    </row>
    <row r="93" spans="1:256" x14ac:dyDescent="0.15">
      <c r="A93" t="e">
        <f>AND(#REF!,"AAAAAH6/mQA=")</f>
        <v>#REF!</v>
      </c>
      <c r="B93" t="e">
        <f>IF(#REF!,"AAAAAH6/mQE=",0)</f>
        <v>#REF!</v>
      </c>
      <c r="C93" t="e">
        <f>AND(#REF!,"AAAAAH6/mQI=")</f>
        <v>#REF!</v>
      </c>
      <c r="D93" t="e">
        <f>AND(#REF!,"AAAAAH6/mQM=")</f>
        <v>#REF!</v>
      </c>
      <c r="E93" t="e">
        <f>AND(#REF!,"AAAAAH6/mQQ=")</f>
        <v>#REF!</v>
      </c>
      <c r="F93" t="e">
        <f>AND(#REF!,"AAAAAH6/mQU=")</f>
        <v>#REF!</v>
      </c>
      <c r="G93" t="e">
        <f>AND(#REF!,"AAAAAH6/mQY=")</f>
        <v>#REF!</v>
      </c>
      <c r="H93" t="e">
        <f>AND(#REF!,"AAAAAH6/mQc=")</f>
        <v>#REF!</v>
      </c>
      <c r="I93" t="e">
        <f>IF(#REF!,"AAAAAH6/mQg=",0)</f>
        <v>#REF!</v>
      </c>
      <c r="J93" t="e">
        <f>IF(#REF!,"AAAAAH6/mQk=",0)</f>
        <v>#REF!</v>
      </c>
      <c r="K93" t="e">
        <f>IF(#REF!,"AAAAAH6/mQo=",0)</f>
        <v>#REF!</v>
      </c>
      <c r="L93" t="e">
        <f>IF(#REF!,"AAAAAH6/mQs=",0)</f>
        <v>#REF!</v>
      </c>
      <c r="M93" t="e">
        <f>IF(#REF!,"AAAAAH6/mQw=",0)</f>
        <v>#REF!</v>
      </c>
      <c r="N93" t="e">
        <f>IF(#REF!,"AAAAAH6/mQ0=",0)</f>
        <v>#REF!</v>
      </c>
      <c r="O93" t="e">
        <f>IF(#REF!,"AAAAAH6/mQ4=",0)</f>
        <v>#REF!</v>
      </c>
      <c r="P93" t="e">
        <f>AND(#REF!,"AAAAAH6/mQ8=")</f>
        <v>#REF!</v>
      </c>
      <c r="Q93" t="e">
        <f>AND(#REF!,"AAAAAH6/mRA=")</f>
        <v>#REF!</v>
      </c>
      <c r="R93" t="e">
        <f>AND(#REF!,"AAAAAH6/mRE=")</f>
        <v>#REF!</v>
      </c>
      <c r="S93" t="e">
        <f>AND(#REF!,"AAAAAH6/mRI=")</f>
        <v>#REF!</v>
      </c>
      <c r="T93" t="e">
        <f>AND(#REF!,"AAAAAH6/mRM=")</f>
        <v>#REF!</v>
      </c>
      <c r="U93" t="e">
        <f>AND(#REF!,"AAAAAH6/mRQ=")</f>
        <v>#REF!</v>
      </c>
      <c r="V93" t="e">
        <f>IF(#REF!,"AAAAAH6/mRU=",0)</f>
        <v>#REF!</v>
      </c>
      <c r="W93" t="e">
        <f>AND(#REF!,"AAAAAH6/mRY=")</f>
        <v>#REF!</v>
      </c>
      <c r="X93" t="e">
        <f>AND(#REF!,"AAAAAH6/mRc=")</f>
        <v>#REF!</v>
      </c>
      <c r="Y93" t="e">
        <f>AND(#REF!,"AAAAAH6/mRg=")</f>
        <v>#REF!</v>
      </c>
      <c r="Z93" t="e">
        <f>AND(#REF!,"AAAAAH6/mRk=")</f>
        <v>#REF!</v>
      </c>
      <c r="AA93" t="e">
        <f>AND(#REF!,"AAAAAH6/mRo=")</f>
        <v>#REF!</v>
      </c>
      <c r="AB93" t="e">
        <f>AND(#REF!,"AAAAAH6/mRs=")</f>
        <v>#REF!</v>
      </c>
      <c r="AC93" t="e">
        <f>IF(#REF!,"AAAAAH6/mRw=",0)</f>
        <v>#REF!</v>
      </c>
      <c r="AD93" t="e">
        <f>AND(#REF!,"AAAAAH6/mR0=")</f>
        <v>#REF!</v>
      </c>
      <c r="AE93" t="e">
        <f>AND(#REF!,"AAAAAH6/mR4=")</f>
        <v>#REF!</v>
      </c>
      <c r="AF93" t="e">
        <f>AND(#REF!,"AAAAAH6/mR8=")</f>
        <v>#REF!</v>
      </c>
      <c r="AG93" t="e">
        <f>AND(#REF!,"AAAAAH6/mSA=")</f>
        <v>#REF!</v>
      </c>
      <c r="AH93" t="e">
        <f>AND(#REF!,"AAAAAH6/mSE=")</f>
        <v>#REF!</v>
      </c>
      <c r="AI93" t="e">
        <f>AND(#REF!,"AAAAAH6/mSI=")</f>
        <v>#REF!</v>
      </c>
      <c r="AJ93" t="e">
        <f>IF(#REF!,"AAAAAH6/mSM=",0)</f>
        <v>#REF!</v>
      </c>
      <c r="AK93" t="e">
        <f>AND(#REF!,"AAAAAH6/mSQ=")</f>
        <v>#REF!</v>
      </c>
      <c r="AL93" t="e">
        <f>AND(#REF!,"AAAAAH6/mSU=")</f>
        <v>#REF!</v>
      </c>
      <c r="AM93" t="e">
        <f>AND(#REF!,"AAAAAH6/mSY=")</f>
        <v>#REF!</v>
      </c>
      <c r="AN93" t="e">
        <f>AND(#REF!,"AAAAAH6/mSc=")</f>
        <v>#REF!</v>
      </c>
      <c r="AO93" t="e">
        <f>AND(#REF!,"AAAAAH6/mSg=")</f>
        <v>#REF!</v>
      </c>
      <c r="AP93" t="e">
        <f>AND(#REF!,"AAAAAH6/mSk=")</f>
        <v>#REF!</v>
      </c>
      <c r="AQ93" t="e">
        <f>IF(#REF!,"AAAAAH6/mSo=",0)</f>
        <v>#REF!</v>
      </c>
      <c r="AR93" t="e">
        <f>AND(#REF!,"AAAAAH6/mSs=")</f>
        <v>#REF!</v>
      </c>
      <c r="AS93" t="e">
        <f>AND(#REF!,"AAAAAH6/mSw=")</f>
        <v>#REF!</v>
      </c>
      <c r="AT93" t="e">
        <f>AND(#REF!,"AAAAAH6/mS0=")</f>
        <v>#REF!</v>
      </c>
      <c r="AU93" t="e">
        <f>AND(#REF!,"AAAAAH6/mS4=")</f>
        <v>#REF!</v>
      </c>
      <c r="AV93" t="e">
        <f>AND(#REF!,"AAAAAH6/mS8=")</f>
        <v>#REF!</v>
      </c>
      <c r="AW93" t="e">
        <f>AND(#REF!,"AAAAAH6/mTA=")</f>
        <v>#REF!</v>
      </c>
      <c r="AX93" t="e">
        <f>IF(#REF!,"AAAAAH6/mTE=",0)</f>
        <v>#REF!</v>
      </c>
      <c r="AY93" t="e">
        <f>AND(#REF!,"AAAAAH6/mTI=")</f>
        <v>#REF!</v>
      </c>
      <c r="AZ93" t="e">
        <f>AND(#REF!,"AAAAAH6/mTM=")</f>
        <v>#REF!</v>
      </c>
      <c r="BA93" t="e">
        <f>AND(#REF!,"AAAAAH6/mTQ=")</f>
        <v>#REF!</v>
      </c>
      <c r="BB93" t="e">
        <f>AND(#REF!,"AAAAAH6/mTU=")</f>
        <v>#REF!</v>
      </c>
      <c r="BC93" t="e">
        <f>AND(#REF!,"AAAAAH6/mTY=")</f>
        <v>#REF!</v>
      </c>
      <c r="BD93" t="e">
        <f>AND(#REF!,"AAAAAH6/mTc=")</f>
        <v>#REF!</v>
      </c>
      <c r="BE93" t="e">
        <f>IF(#REF!,"AAAAAH6/mTg=",0)</f>
        <v>#REF!</v>
      </c>
      <c r="BF93" t="e">
        <f>AND(#REF!,"AAAAAH6/mTk=")</f>
        <v>#REF!</v>
      </c>
      <c r="BG93" t="e">
        <f>AND(#REF!,"AAAAAH6/mTo=")</f>
        <v>#REF!</v>
      </c>
      <c r="BH93" t="e">
        <f>AND(#REF!,"AAAAAH6/mTs=")</f>
        <v>#REF!</v>
      </c>
      <c r="BI93" t="e">
        <f>AND(#REF!,"AAAAAH6/mTw=")</f>
        <v>#REF!</v>
      </c>
      <c r="BJ93" t="e">
        <f>AND(#REF!,"AAAAAH6/mT0=")</f>
        <v>#REF!</v>
      </c>
      <c r="BK93" t="e">
        <f>AND(#REF!,"AAAAAH6/mT4=")</f>
        <v>#REF!</v>
      </c>
      <c r="BL93" t="e">
        <f>IF(#REF!,"AAAAAH6/mT8=",0)</f>
        <v>#REF!</v>
      </c>
      <c r="BM93" t="e">
        <f>AND(#REF!,"AAAAAH6/mUA=")</f>
        <v>#REF!</v>
      </c>
      <c r="BN93" t="e">
        <f>AND(#REF!,"AAAAAH6/mUE=")</f>
        <v>#REF!</v>
      </c>
      <c r="BO93" t="e">
        <f>AND(#REF!,"AAAAAH6/mUI=")</f>
        <v>#REF!</v>
      </c>
      <c r="BP93" t="e">
        <f>AND(#REF!,"AAAAAH6/mUM=")</f>
        <v>#REF!</v>
      </c>
      <c r="BQ93" t="e">
        <f>AND(#REF!,"AAAAAH6/mUQ=")</f>
        <v>#REF!</v>
      </c>
      <c r="BR93" t="e">
        <f>AND(#REF!,"AAAAAH6/mUU=")</f>
        <v>#REF!</v>
      </c>
      <c r="BS93" t="e">
        <f>IF(#REF!,"AAAAAH6/mUY=",0)</f>
        <v>#REF!</v>
      </c>
      <c r="BT93" t="e">
        <f>AND(#REF!,"AAAAAH6/mUc=")</f>
        <v>#REF!</v>
      </c>
      <c r="BU93" t="e">
        <f>AND(#REF!,"AAAAAH6/mUg=")</f>
        <v>#REF!</v>
      </c>
      <c r="BV93" t="e">
        <f>AND(#REF!,"AAAAAH6/mUk=")</f>
        <v>#REF!</v>
      </c>
      <c r="BW93" t="e">
        <f>AND(#REF!,"AAAAAH6/mUo=")</f>
        <v>#REF!</v>
      </c>
      <c r="BX93" t="e">
        <f>AND(#REF!,"AAAAAH6/mUs=")</f>
        <v>#REF!</v>
      </c>
      <c r="BY93" t="e">
        <f>AND(#REF!,"AAAAAH6/mUw=")</f>
        <v>#REF!</v>
      </c>
      <c r="BZ93" t="e">
        <f>IF(#REF!,"AAAAAH6/mU0=",0)</f>
        <v>#REF!</v>
      </c>
      <c r="CA93" t="e">
        <f>AND(#REF!,"AAAAAH6/mU4=")</f>
        <v>#REF!</v>
      </c>
      <c r="CB93" t="e">
        <f>AND(#REF!,"AAAAAH6/mU8=")</f>
        <v>#REF!</v>
      </c>
      <c r="CC93" t="e">
        <f>AND(#REF!,"AAAAAH6/mVA=")</f>
        <v>#REF!</v>
      </c>
      <c r="CD93" t="e">
        <f>AND(#REF!,"AAAAAH6/mVE=")</f>
        <v>#REF!</v>
      </c>
      <c r="CE93" t="e">
        <f>AND(#REF!,"AAAAAH6/mVI=")</f>
        <v>#REF!</v>
      </c>
      <c r="CF93" t="e">
        <f>AND(#REF!,"AAAAAH6/mVM=")</f>
        <v>#REF!</v>
      </c>
      <c r="CG93" t="e">
        <f>IF(#REF!,"AAAAAH6/mVQ=",0)</f>
        <v>#REF!</v>
      </c>
      <c r="CH93" t="e">
        <f>AND(#REF!,"AAAAAH6/mVU=")</f>
        <v>#REF!</v>
      </c>
      <c r="CI93" t="e">
        <f>AND(#REF!,"AAAAAH6/mVY=")</f>
        <v>#REF!</v>
      </c>
      <c r="CJ93" t="e">
        <f>AND(#REF!,"AAAAAH6/mVc=")</f>
        <v>#REF!</v>
      </c>
      <c r="CK93" t="e">
        <f>AND(#REF!,"AAAAAH6/mVg=")</f>
        <v>#REF!</v>
      </c>
      <c r="CL93" t="e">
        <f>AND(#REF!,"AAAAAH6/mVk=")</f>
        <v>#REF!</v>
      </c>
      <c r="CM93" t="e">
        <f>AND(#REF!,"AAAAAH6/mVo=")</f>
        <v>#REF!</v>
      </c>
      <c r="CN93" t="e">
        <f>IF(#REF!,"AAAAAH6/mVs=",0)</f>
        <v>#REF!</v>
      </c>
      <c r="CO93" t="e">
        <f>AND(#REF!,"AAAAAH6/mVw=")</f>
        <v>#REF!</v>
      </c>
      <c r="CP93" t="e">
        <f>AND(#REF!,"AAAAAH6/mV0=")</f>
        <v>#REF!</v>
      </c>
      <c r="CQ93" t="e">
        <f>AND(#REF!,"AAAAAH6/mV4=")</f>
        <v>#REF!</v>
      </c>
      <c r="CR93" t="e">
        <f>AND(#REF!,"AAAAAH6/mV8=")</f>
        <v>#REF!</v>
      </c>
      <c r="CS93" t="e">
        <f>AND(#REF!,"AAAAAH6/mWA=")</f>
        <v>#REF!</v>
      </c>
      <c r="CT93" t="e">
        <f>AND(#REF!,"AAAAAH6/mWE=")</f>
        <v>#REF!</v>
      </c>
      <c r="CU93" t="e">
        <f>IF(#REF!,"AAAAAH6/mWI=",0)</f>
        <v>#REF!</v>
      </c>
      <c r="CV93" t="e">
        <f>AND(#REF!,"AAAAAH6/mWM=")</f>
        <v>#REF!</v>
      </c>
      <c r="CW93" t="e">
        <f>AND(#REF!,"AAAAAH6/mWQ=")</f>
        <v>#REF!</v>
      </c>
      <c r="CX93" t="e">
        <f>AND(#REF!,"AAAAAH6/mWU=")</f>
        <v>#REF!</v>
      </c>
      <c r="CY93" t="e">
        <f>AND(#REF!,"AAAAAH6/mWY=")</f>
        <v>#REF!</v>
      </c>
      <c r="CZ93" t="e">
        <f>AND(#REF!,"AAAAAH6/mWc=")</f>
        <v>#REF!</v>
      </c>
      <c r="DA93" t="e">
        <f>AND(#REF!,"AAAAAH6/mWg=")</f>
        <v>#REF!</v>
      </c>
      <c r="DB93" t="e">
        <f>IF(#REF!,"AAAAAH6/mWk=",0)</f>
        <v>#REF!</v>
      </c>
      <c r="DC93" t="e">
        <f>AND(#REF!,"AAAAAH6/mWo=")</f>
        <v>#REF!</v>
      </c>
      <c r="DD93" t="e">
        <f>AND(#REF!,"AAAAAH6/mWs=")</f>
        <v>#REF!</v>
      </c>
      <c r="DE93" t="e">
        <f>AND(#REF!,"AAAAAH6/mWw=")</f>
        <v>#REF!</v>
      </c>
      <c r="DF93" t="e">
        <f>AND(#REF!,"AAAAAH6/mW0=")</f>
        <v>#REF!</v>
      </c>
      <c r="DG93" t="e">
        <f>AND(#REF!,"AAAAAH6/mW4=")</f>
        <v>#REF!</v>
      </c>
      <c r="DH93" t="e">
        <f>AND(#REF!,"AAAAAH6/mW8=")</f>
        <v>#REF!</v>
      </c>
      <c r="DI93" t="e">
        <f>IF(#REF!,"AAAAAH6/mXA=",0)</f>
        <v>#REF!</v>
      </c>
      <c r="DJ93" t="e">
        <f>AND(#REF!,"AAAAAH6/mXE=")</f>
        <v>#REF!</v>
      </c>
      <c r="DK93" t="e">
        <f>AND(#REF!,"AAAAAH6/mXI=")</f>
        <v>#REF!</v>
      </c>
      <c r="DL93" t="e">
        <f>AND(#REF!,"AAAAAH6/mXM=")</f>
        <v>#REF!</v>
      </c>
      <c r="DM93" t="e">
        <f>AND(#REF!,"AAAAAH6/mXQ=")</f>
        <v>#REF!</v>
      </c>
      <c r="DN93" t="e">
        <f>AND(#REF!,"AAAAAH6/mXU=")</f>
        <v>#REF!</v>
      </c>
      <c r="DO93" t="e">
        <f>AND(#REF!,"AAAAAH6/mXY=")</f>
        <v>#REF!</v>
      </c>
      <c r="DP93" t="e">
        <f>IF(#REF!,"AAAAAH6/mXc=",0)</f>
        <v>#REF!</v>
      </c>
      <c r="DQ93" t="e">
        <f>AND(#REF!,"AAAAAH6/mXg=")</f>
        <v>#REF!</v>
      </c>
      <c r="DR93" t="e">
        <f>AND(#REF!,"AAAAAH6/mXk=")</f>
        <v>#REF!</v>
      </c>
      <c r="DS93" t="e">
        <f>AND(#REF!,"AAAAAH6/mXo=")</f>
        <v>#REF!</v>
      </c>
      <c r="DT93" t="e">
        <f>AND(#REF!,"AAAAAH6/mXs=")</f>
        <v>#REF!</v>
      </c>
      <c r="DU93" t="e">
        <f>AND(#REF!,"AAAAAH6/mXw=")</f>
        <v>#REF!</v>
      </c>
      <c r="DV93" t="e">
        <f>AND(#REF!,"AAAAAH6/mX0=")</f>
        <v>#REF!</v>
      </c>
      <c r="DW93" t="e">
        <f>IF(#REF!,"AAAAAH6/mX4=",0)</f>
        <v>#REF!</v>
      </c>
      <c r="DX93" t="e">
        <f>AND(#REF!,"AAAAAH6/mX8=")</f>
        <v>#REF!</v>
      </c>
      <c r="DY93" t="e">
        <f>AND(#REF!,"AAAAAH6/mYA=")</f>
        <v>#REF!</v>
      </c>
      <c r="DZ93" t="e">
        <f>AND(#REF!,"AAAAAH6/mYE=")</f>
        <v>#REF!</v>
      </c>
      <c r="EA93" t="e">
        <f>AND(#REF!,"AAAAAH6/mYI=")</f>
        <v>#REF!</v>
      </c>
      <c r="EB93" t="e">
        <f>AND(#REF!,"AAAAAH6/mYM=")</f>
        <v>#REF!</v>
      </c>
      <c r="EC93" t="e">
        <f>AND(#REF!,"AAAAAH6/mYQ=")</f>
        <v>#REF!</v>
      </c>
      <c r="ED93" t="e">
        <f>IF(#REF!,"AAAAAH6/mYU=",0)</f>
        <v>#REF!</v>
      </c>
      <c r="EE93" t="e">
        <f>AND(#REF!,"AAAAAH6/mYY=")</f>
        <v>#REF!</v>
      </c>
      <c r="EF93" t="e">
        <f>AND(#REF!,"AAAAAH6/mYc=")</f>
        <v>#REF!</v>
      </c>
      <c r="EG93" t="e">
        <f>AND(#REF!,"AAAAAH6/mYg=")</f>
        <v>#REF!</v>
      </c>
      <c r="EH93" t="e">
        <f>AND(#REF!,"AAAAAH6/mYk=")</f>
        <v>#REF!</v>
      </c>
      <c r="EI93" t="e">
        <f>AND(#REF!,"AAAAAH6/mYo=")</f>
        <v>#REF!</v>
      </c>
      <c r="EJ93" t="e">
        <f>AND(#REF!,"AAAAAH6/mYs=")</f>
        <v>#REF!</v>
      </c>
      <c r="EK93" t="e">
        <f>IF(#REF!,"AAAAAH6/mYw=",0)</f>
        <v>#REF!</v>
      </c>
      <c r="EL93" t="e">
        <f>AND(#REF!,"AAAAAH6/mY0=")</f>
        <v>#REF!</v>
      </c>
      <c r="EM93" t="e">
        <f>AND(#REF!,"AAAAAH6/mY4=")</f>
        <v>#REF!</v>
      </c>
      <c r="EN93" t="e">
        <f>AND(#REF!,"AAAAAH6/mY8=")</f>
        <v>#REF!</v>
      </c>
      <c r="EO93" t="e">
        <f>AND(#REF!,"AAAAAH6/mZA=")</f>
        <v>#REF!</v>
      </c>
      <c r="EP93" t="e">
        <f>AND(#REF!,"AAAAAH6/mZE=")</f>
        <v>#REF!</v>
      </c>
      <c r="EQ93" t="e">
        <f>AND(#REF!,"AAAAAH6/mZI=")</f>
        <v>#REF!</v>
      </c>
      <c r="ER93" t="e">
        <f>IF(#REF!,"AAAAAH6/mZM=",0)</f>
        <v>#REF!</v>
      </c>
      <c r="ES93" t="e">
        <f>AND(#REF!,"AAAAAH6/mZQ=")</f>
        <v>#REF!</v>
      </c>
      <c r="ET93" t="e">
        <f>AND(#REF!,"AAAAAH6/mZU=")</f>
        <v>#REF!</v>
      </c>
      <c r="EU93" t="e">
        <f>AND(#REF!,"AAAAAH6/mZY=")</f>
        <v>#REF!</v>
      </c>
      <c r="EV93" t="e">
        <f>AND(#REF!,"AAAAAH6/mZc=")</f>
        <v>#REF!</v>
      </c>
      <c r="EW93" t="e">
        <f>AND(#REF!,"AAAAAH6/mZg=")</f>
        <v>#REF!</v>
      </c>
      <c r="EX93" t="e">
        <f>AND(#REF!,"AAAAAH6/mZk=")</f>
        <v>#REF!</v>
      </c>
      <c r="EY93" t="e">
        <f>IF(#REF!,"AAAAAH6/mZo=",0)</f>
        <v>#REF!</v>
      </c>
      <c r="EZ93" t="e">
        <f>AND(#REF!,"AAAAAH6/mZs=")</f>
        <v>#REF!</v>
      </c>
      <c r="FA93" t="e">
        <f>AND(#REF!,"AAAAAH6/mZw=")</f>
        <v>#REF!</v>
      </c>
      <c r="FB93" t="e">
        <f>AND(#REF!,"AAAAAH6/mZ0=")</f>
        <v>#REF!</v>
      </c>
      <c r="FC93" t="e">
        <f>AND(#REF!,"AAAAAH6/mZ4=")</f>
        <v>#REF!</v>
      </c>
      <c r="FD93" t="e">
        <f>AND(#REF!,"AAAAAH6/mZ8=")</f>
        <v>#REF!</v>
      </c>
      <c r="FE93" t="e">
        <f>AND(#REF!,"AAAAAH6/maA=")</f>
        <v>#REF!</v>
      </c>
      <c r="FF93" t="e">
        <f>IF(#REF!,"AAAAAH6/maE=",0)</f>
        <v>#REF!</v>
      </c>
      <c r="FG93" t="e">
        <f>AND(#REF!,"AAAAAH6/maI=")</f>
        <v>#REF!</v>
      </c>
      <c r="FH93" t="e">
        <f>AND(#REF!,"AAAAAH6/maM=")</f>
        <v>#REF!</v>
      </c>
      <c r="FI93" t="e">
        <f>AND(#REF!,"AAAAAH6/maQ=")</f>
        <v>#REF!</v>
      </c>
      <c r="FJ93" t="e">
        <f>AND(#REF!,"AAAAAH6/maU=")</f>
        <v>#REF!</v>
      </c>
      <c r="FK93" t="e">
        <f>AND(#REF!,"AAAAAH6/maY=")</f>
        <v>#REF!</v>
      </c>
      <c r="FL93" t="e">
        <f>AND(#REF!,"AAAAAH6/mac=")</f>
        <v>#REF!</v>
      </c>
      <c r="FM93" t="e">
        <f>IF(#REF!,"AAAAAH6/mag=",0)</f>
        <v>#REF!</v>
      </c>
      <c r="FN93" t="e">
        <f>AND(#REF!,"AAAAAH6/mak=")</f>
        <v>#REF!</v>
      </c>
      <c r="FO93" t="e">
        <f>AND(#REF!,"AAAAAH6/mao=")</f>
        <v>#REF!</v>
      </c>
      <c r="FP93" t="e">
        <f>AND(#REF!,"AAAAAH6/mas=")</f>
        <v>#REF!</v>
      </c>
      <c r="FQ93" t="e">
        <f>AND(#REF!,"AAAAAH6/maw=")</f>
        <v>#REF!</v>
      </c>
      <c r="FR93" t="e">
        <f>AND(#REF!,"AAAAAH6/ma0=")</f>
        <v>#REF!</v>
      </c>
      <c r="FS93" t="e">
        <f>AND(#REF!,"AAAAAH6/ma4=")</f>
        <v>#REF!</v>
      </c>
      <c r="FT93" t="e">
        <f>IF(#REF!,"AAAAAH6/ma8=",0)</f>
        <v>#REF!</v>
      </c>
      <c r="FU93" t="e">
        <f>AND(#REF!,"AAAAAH6/mbA=")</f>
        <v>#REF!</v>
      </c>
      <c r="FV93" t="e">
        <f>AND(#REF!,"AAAAAH6/mbE=")</f>
        <v>#REF!</v>
      </c>
      <c r="FW93" t="e">
        <f>AND(#REF!,"AAAAAH6/mbI=")</f>
        <v>#REF!</v>
      </c>
      <c r="FX93" t="e">
        <f>AND(#REF!,"AAAAAH6/mbM=")</f>
        <v>#REF!</v>
      </c>
      <c r="FY93" t="e">
        <f>AND(#REF!,"AAAAAH6/mbQ=")</f>
        <v>#REF!</v>
      </c>
      <c r="FZ93" t="e">
        <f>AND(#REF!,"AAAAAH6/mbU=")</f>
        <v>#REF!</v>
      </c>
      <c r="GA93" t="e">
        <f>IF(#REF!,"AAAAAH6/mbY=",0)</f>
        <v>#REF!</v>
      </c>
      <c r="GB93" t="e">
        <f>AND(#REF!,"AAAAAH6/mbc=")</f>
        <v>#REF!</v>
      </c>
      <c r="GC93" t="e">
        <f>AND(#REF!,"AAAAAH6/mbg=")</f>
        <v>#REF!</v>
      </c>
      <c r="GD93" t="e">
        <f>AND(#REF!,"AAAAAH6/mbk=")</f>
        <v>#REF!</v>
      </c>
      <c r="GE93" t="e">
        <f>AND(#REF!,"AAAAAH6/mbo=")</f>
        <v>#REF!</v>
      </c>
      <c r="GF93" t="e">
        <f>AND(#REF!,"AAAAAH6/mbs=")</f>
        <v>#REF!</v>
      </c>
      <c r="GG93" t="e">
        <f>AND(#REF!,"AAAAAH6/mbw=")</f>
        <v>#REF!</v>
      </c>
      <c r="GH93" t="e">
        <f>IF(#REF!,"AAAAAH6/mb0=",0)</f>
        <v>#REF!</v>
      </c>
      <c r="GI93" t="e">
        <f>AND(#REF!,"AAAAAH6/mb4=")</f>
        <v>#REF!</v>
      </c>
      <c r="GJ93" t="e">
        <f>AND(#REF!,"AAAAAH6/mb8=")</f>
        <v>#REF!</v>
      </c>
      <c r="GK93" t="e">
        <f>AND(#REF!,"AAAAAH6/mcA=")</f>
        <v>#REF!</v>
      </c>
      <c r="GL93" t="e">
        <f>AND(#REF!,"AAAAAH6/mcE=")</f>
        <v>#REF!</v>
      </c>
      <c r="GM93" t="e">
        <f>AND(#REF!,"AAAAAH6/mcI=")</f>
        <v>#REF!</v>
      </c>
      <c r="GN93" t="e">
        <f>AND(#REF!,"AAAAAH6/mcM=")</f>
        <v>#REF!</v>
      </c>
      <c r="GO93" t="e">
        <f>IF(#REF!,"AAAAAH6/mcQ=",0)</f>
        <v>#REF!</v>
      </c>
      <c r="GP93" t="e">
        <f>AND(#REF!,"AAAAAH6/mcU=")</f>
        <v>#REF!</v>
      </c>
      <c r="GQ93" t="e">
        <f>AND(#REF!,"AAAAAH6/mcY=")</f>
        <v>#REF!</v>
      </c>
      <c r="GR93" t="e">
        <f>AND(#REF!,"AAAAAH6/mcc=")</f>
        <v>#REF!</v>
      </c>
      <c r="GS93" t="e">
        <f>AND(#REF!,"AAAAAH6/mcg=")</f>
        <v>#REF!</v>
      </c>
      <c r="GT93" t="e">
        <f>AND(#REF!,"AAAAAH6/mck=")</f>
        <v>#REF!</v>
      </c>
      <c r="GU93" t="e">
        <f>AND(#REF!,"AAAAAH6/mco=")</f>
        <v>#REF!</v>
      </c>
      <c r="GV93" t="e">
        <f>IF(#REF!,"AAAAAH6/mcs=",0)</f>
        <v>#REF!</v>
      </c>
      <c r="GW93" t="e">
        <f>AND(#REF!,"AAAAAH6/mcw=")</f>
        <v>#REF!</v>
      </c>
      <c r="GX93" t="e">
        <f>AND(#REF!,"AAAAAH6/mc0=")</f>
        <v>#REF!</v>
      </c>
      <c r="GY93" t="e">
        <f>AND(#REF!,"AAAAAH6/mc4=")</f>
        <v>#REF!</v>
      </c>
      <c r="GZ93" t="e">
        <f>AND(#REF!,"AAAAAH6/mc8=")</f>
        <v>#REF!</v>
      </c>
      <c r="HA93" t="e">
        <f>AND(#REF!,"AAAAAH6/mdA=")</f>
        <v>#REF!</v>
      </c>
      <c r="HB93" t="e">
        <f>AND(#REF!,"AAAAAH6/mdE=")</f>
        <v>#REF!</v>
      </c>
      <c r="HC93" t="e">
        <f>IF(#REF!,"AAAAAH6/mdI=",0)</f>
        <v>#REF!</v>
      </c>
      <c r="HD93" t="e">
        <f>AND(#REF!,"AAAAAH6/mdM=")</f>
        <v>#REF!</v>
      </c>
      <c r="HE93" t="e">
        <f>AND(#REF!,"AAAAAH6/mdQ=")</f>
        <v>#REF!</v>
      </c>
      <c r="HF93" t="e">
        <f>AND(#REF!,"AAAAAH6/mdU=")</f>
        <v>#REF!</v>
      </c>
      <c r="HG93" t="e">
        <f>AND(#REF!,"AAAAAH6/mdY=")</f>
        <v>#REF!</v>
      </c>
      <c r="HH93" t="e">
        <f>AND(#REF!,"AAAAAH6/mdc=")</f>
        <v>#REF!</v>
      </c>
      <c r="HI93" t="e">
        <f>AND(#REF!,"AAAAAH6/mdg=")</f>
        <v>#REF!</v>
      </c>
      <c r="HJ93" t="e">
        <f>IF(#REF!,"AAAAAH6/mdk=",0)</f>
        <v>#REF!</v>
      </c>
      <c r="HK93" t="e">
        <f>AND(#REF!,"AAAAAH6/mdo=")</f>
        <v>#REF!</v>
      </c>
      <c r="HL93" t="e">
        <f>AND(#REF!,"AAAAAH6/mds=")</f>
        <v>#REF!</v>
      </c>
      <c r="HM93" t="e">
        <f>AND(#REF!,"AAAAAH6/mdw=")</f>
        <v>#REF!</v>
      </c>
      <c r="HN93" t="e">
        <f>AND(#REF!,"AAAAAH6/md0=")</f>
        <v>#REF!</v>
      </c>
      <c r="HO93" t="e">
        <f>AND(#REF!,"AAAAAH6/md4=")</f>
        <v>#REF!</v>
      </c>
      <c r="HP93" t="e">
        <f>AND(#REF!,"AAAAAH6/md8=")</f>
        <v>#REF!</v>
      </c>
      <c r="HQ93" t="e">
        <f>IF(#REF!,"AAAAAH6/meA=",0)</f>
        <v>#REF!</v>
      </c>
      <c r="HR93" t="e">
        <f>AND(#REF!,"AAAAAH6/meE=")</f>
        <v>#REF!</v>
      </c>
      <c r="HS93" t="e">
        <f>AND(#REF!,"AAAAAH6/meI=")</f>
        <v>#REF!</v>
      </c>
      <c r="HT93" t="e">
        <f>AND(#REF!,"AAAAAH6/meM=")</f>
        <v>#REF!</v>
      </c>
      <c r="HU93" t="e">
        <f>AND(#REF!,"AAAAAH6/meQ=")</f>
        <v>#REF!</v>
      </c>
      <c r="HV93" t="e">
        <f>AND(#REF!,"AAAAAH6/meU=")</f>
        <v>#REF!</v>
      </c>
      <c r="HW93" t="e">
        <f>AND(#REF!,"AAAAAH6/meY=")</f>
        <v>#REF!</v>
      </c>
      <c r="HX93" t="e">
        <f>IF(#REF!,"AAAAAH6/mec=",0)</f>
        <v>#REF!</v>
      </c>
      <c r="HY93" t="e">
        <f>AND(#REF!,"AAAAAH6/meg=")</f>
        <v>#REF!</v>
      </c>
      <c r="HZ93" t="e">
        <f>AND(#REF!,"AAAAAH6/mek=")</f>
        <v>#REF!</v>
      </c>
      <c r="IA93" t="e">
        <f>AND(#REF!,"AAAAAH6/meo=")</f>
        <v>#REF!</v>
      </c>
      <c r="IB93" t="e">
        <f>AND(#REF!,"AAAAAH6/mes=")</f>
        <v>#REF!</v>
      </c>
      <c r="IC93" t="e">
        <f>AND(#REF!,"AAAAAH6/mew=")</f>
        <v>#REF!</v>
      </c>
      <c r="ID93" t="e">
        <f>AND(#REF!,"AAAAAH6/me0=")</f>
        <v>#REF!</v>
      </c>
      <c r="IE93" t="e">
        <f>IF(#REF!,"AAAAAH6/me4=",0)</f>
        <v>#REF!</v>
      </c>
      <c r="IF93" t="e">
        <f>AND(#REF!,"AAAAAH6/me8=")</f>
        <v>#REF!</v>
      </c>
      <c r="IG93" t="e">
        <f>AND(#REF!,"AAAAAH6/mfA=")</f>
        <v>#REF!</v>
      </c>
      <c r="IH93" t="e">
        <f>AND(#REF!,"AAAAAH6/mfE=")</f>
        <v>#REF!</v>
      </c>
      <c r="II93" t="e">
        <f>AND(#REF!,"AAAAAH6/mfI=")</f>
        <v>#REF!</v>
      </c>
      <c r="IJ93" t="e">
        <f>AND(#REF!,"AAAAAH6/mfM=")</f>
        <v>#REF!</v>
      </c>
      <c r="IK93" t="e">
        <f>AND(#REF!,"AAAAAH6/mfQ=")</f>
        <v>#REF!</v>
      </c>
      <c r="IL93" t="e">
        <f>IF(#REF!,"AAAAAH6/mfU=",0)</f>
        <v>#REF!</v>
      </c>
      <c r="IM93" t="e">
        <f>AND(#REF!,"AAAAAH6/mfY=")</f>
        <v>#REF!</v>
      </c>
      <c r="IN93" t="e">
        <f>AND(#REF!,"AAAAAH6/mfc=")</f>
        <v>#REF!</v>
      </c>
      <c r="IO93" t="e">
        <f>AND(#REF!,"AAAAAH6/mfg=")</f>
        <v>#REF!</v>
      </c>
      <c r="IP93" t="e">
        <f>AND(#REF!,"AAAAAH6/mfk=")</f>
        <v>#REF!</v>
      </c>
      <c r="IQ93" t="e">
        <f>AND(#REF!,"AAAAAH6/mfo=")</f>
        <v>#REF!</v>
      </c>
      <c r="IR93" t="e">
        <f>AND(#REF!,"AAAAAH6/mfs=")</f>
        <v>#REF!</v>
      </c>
      <c r="IS93" t="e">
        <f>IF(#REF!,"AAAAAH6/mfw=",0)</f>
        <v>#REF!</v>
      </c>
      <c r="IT93" t="e">
        <f>AND(#REF!,"AAAAAH6/mf0=")</f>
        <v>#REF!</v>
      </c>
      <c r="IU93" t="e">
        <f>AND(#REF!,"AAAAAH6/mf4=")</f>
        <v>#REF!</v>
      </c>
      <c r="IV93" t="e">
        <f>AND(#REF!,"AAAAAH6/mf8=")</f>
        <v>#REF!</v>
      </c>
    </row>
    <row r="94" spans="1:256" x14ac:dyDescent="0.15">
      <c r="A94" t="e">
        <f>AND(#REF!,"AAAAAHf/3gA=")</f>
        <v>#REF!</v>
      </c>
      <c r="B94" t="e">
        <f>AND(#REF!,"AAAAAHf/3gE=")</f>
        <v>#REF!</v>
      </c>
      <c r="C94" t="e">
        <f>AND(#REF!,"AAAAAHf/3gI=")</f>
        <v>#REF!</v>
      </c>
      <c r="D94" t="e">
        <f>IF(#REF!,"AAAAAHf/3gM=",0)</f>
        <v>#REF!</v>
      </c>
      <c r="E94" t="e">
        <f>AND(#REF!,"AAAAAHf/3gQ=")</f>
        <v>#REF!</v>
      </c>
      <c r="F94" t="e">
        <f>AND(#REF!,"AAAAAHf/3gU=")</f>
        <v>#REF!</v>
      </c>
      <c r="G94" t="e">
        <f>AND(#REF!,"AAAAAHf/3gY=")</f>
        <v>#REF!</v>
      </c>
      <c r="H94" t="e">
        <f>AND(#REF!,"AAAAAHf/3gc=")</f>
        <v>#REF!</v>
      </c>
      <c r="I94" t="e">
        <f>AND(#REF!,"AAAAAHf/3gg=")</f>
        <v>#REF!</v>
      </c>
      <c r="J94" t="e">
        <f>AND(#REF!,"AAAAAHf/3gk=")</f>
        <v>#REF!</v>
      </c>
      <c r="K94" t="e">
        <f>IF(#REF!,"AAAAAHf/3go=",0)</f>
        <v>#REF!</v>
      </c>
      <c r="L94" t="e">
        <f>AND(#REF!,"AAAAAHf/3gs=")</f>
        <v>#REF!</v>
      </c>
      <c r="M94" t="e">
        <f>AND(#REF!,"AAAAAHf/3gw=")</f>
        <v>#REF!</v>
      </c>
      <c r="N94" t="e">
        <f>AND(#REF!,"AAAAAHf/3g0=")</f>
        <v>#REF!</v>
      </c>
      <c r="O94" t="e">
        <f>AND(#REF!,"AAAAAHf/3g4=")</f>
        <v>#REF!</v>
      </c>
      <c r="P94" t="e">
        <f>AND(#REF!,"AAAAAHf/3g8=")</f>
        <v>#REF!</v>
      </c>
      <c r="Q94" t="e">
        <f>AND(#REF!,"AAAAAHf/3hA=")</f>
        <v>#REF!</v>
      </c>
      <c r="R94" t="e">
        <f>IF(#REF!,"AAAAAHf/3hE=",0)</f>
        <v>#REF!</v>
      </c>
      <c r="S94" t="e">
        <f>AND(#REF!,"AAAAAHf/3hI=")</f>
        <v>#REF!</v>
      </c>
      <c r="T94" t="e">
        <f>AND(#REF!,"AAAAAHf/3hM=")</f>
        <v>#REF!</v>
      </c>
      <c r="U94" t="e">
        <f>AND(#REF!,"AAAAAHf/3hQ=")</f>
        <v>#REF!</v>
      </c>
      <c r="V94" t="e">
        <f>AND(#REF!,"AAAAAHf/3hU=")</f>
        <v>#REF!</v>
      </c>
      <c r="W94" t="e">
        <f>AND(#REF!,"AAAAAHf/3hY=")</f>
        <v>#REF!</v>
      </c>
      <c r="X94" t="e">
        <f>AND(#REF!,"AAAAAHf/3hc=")</f>
        <v>#REF!</v>
      </c>
      <c r="Y94" t="e">
        <f>IF(#REF!,"AAAAAHf/3hg=",0)</f>
        <v>#REF!</v>
      </c>
      <c r="Z94" t="e">
        <f>AND(#REF!,"AAAAAHf/3hk=")</f>
        <v>#REF!</v>
      </c>
      <c r="AA94" t="e">
        <f>AND(#REF!,"AAAAAHf/3ho=")</f>
        <v>#REF!</v>
      </c>
      <c r="AB94" t="e">
        <f>AND(#REF!,"AAAAAHf/3hs=")</f>
        <v>#REF!</v>
      </c>
      <c r="AC94" t="e">
        <f>AND(#REF!,"AAAAAHf/3hw=")</f>
        <v>#REF!</v>
      </c>
      <c r="AD94" t="e">
        <f>AND(#REF!,"AAAAAHf/3h0=")</f>
        <v>#REF!</v>
      </c>
      <c r="AE94" t="e">
        <f>AND(#REF!,"AAAAAHf/3h4=")</f>
        <v>#REF!</v>
      </c>
      <c r="AF94" t="e">
        <f>IF(#REF!,"AAAAAHf/3h8=",0)</f>
        <v>#REF!</v>
      </c>
      <c r="AG94" t="e">
        <f>AND(#REF!,"AAAAAHf/3iA=")</f>
        <v>#REF!</v>
      </c>
      <c r="AH94" t="e">
        <f>AND(#REF!,"AAAAAHf/3iE=")</f>
        <v>#REF!</v>
      </c>
      <c r="AI94" t="e">
        <f>AND(#REF!,"AAAAAHf/3iI=")</f>
        <v>#REF!</v>
      </c>
      <c r="AJ94" t="e">
        <f>AND(#REF!,"AAAAAHf/3iM=")</f>
        <v>#REF!</v>
      </c>
      <c r="AK94" t="e">
        <f>AND(#REF!,"AAAAAHf/3iQ=")</f>
        <v>#REF!</v>
      </c>
      <c r="AL94" t="e">
        <f>AND(#REF!,"AAAAAHf/3iU=")</f>
        <v>#REF!</v>
      </c>
      <c r="AM94" t="e">
        <f>IF(#REF!,"AAAAAHf/3iY=",0)</f>
        <v>#REF!</v>
      </c>
      <c r="AN94" t="e">
        <f>AND(#REF!,"AAAAAHf/3ic=")</f>
        <v>#REF!</v>
      </c>
      <c r="AO94" t="e">
        <f>AND(#REF!,"AAAAAHf/3ig=")</f>
        <v>#REF!</v>
      </c>
      <c r="AP94" t="e">
        <f>AND(#REF!,"AAAAAHf/3ik=")</f>
        <v>#REF!</v>
      </c>
      <c r="AQ94" t="e">
        <f>AND(#REF!,"AAAAAHf/3io=")</f>
        <v>#REF!</v>
      </c>
      <c r="AR94" t="e">
        <f>AND(#REF!,"AAAAAHf/3is=")</f>
        <v>#REF!</v>
      </c>
      <c r="AS94" t="e">
        <f>AND(#REF!,"AAAAAHf/3iw=")</f>
        <v>#REF!</v>
      </c>
      <c r="AT94" t="e">
        <f>IF(#REF!,"AAAAAHf/3i0=",0)</f>
        <v>#REF!</v>
      </c>
      <c r="AU94" t="e">
        <f>AND(#REF!,"AAAAAHf/3i4=")</f>
        <v>#REF!</v>
      </c>
      <c r="AV94" t="e">
        <f>AND(#REF!,"AAAAAHf/3i8=")</f>
        <v>#REF!</v>
      </c>
      <c r="AW94" t="e">
        <f>AND(#REF!,"AAAAAHf/3jA=")</f>
        <v>#REF!</v>
      </c>
      <c r="AX94" t="e">
        <f>AND(#REF!,"AAAAAHf/3jE=")</f>
        <v>#REF!</v>
      </c>
      <c r="AY94" t="e">
        <f>AND(#REF!,"AAAAAHf/3jI=")</f>
        <v>#REF!</v>
      </c>
      <c r="AZ94" t="e">
        <f>AND(#REF!,"AAAAAHf/3jM=")</f>
        <v>#REF!</v>
      </c>
      <c r="BA94" t="e">
        <f>IF(#REF!,"AAAAAHf/3jQ=",0)</f>
        <v>#REF!</v>
      </c>
      <c r="BB94" t="e">
        <f>AND(#REF!,"AAAAAHf/3jU=")</f>
        <v>#REF!</v>
      </c>
      <c r="BC94" t="e">
        <f>AND(#REF!,"AAAAAHf/3jY=")</f>
        <v>#REF!</v>
      </c>
      <c r="BD94" t="e">
        <f>AND(#REF!,"AAAAAHf/3jc=")</f>
        <v>#REF!</v>
      </c>
      <c r="BE94" t="e">
        <f>AND(#REF!,"AAAAAHf/3jg=")</f>
        <v>#REF!</v>
      </c>
      <c r="BF94" t="e">
        <f>AND(#REF!,"AAAAAHf/3jk=")</f>
        <v>#REF!</v>
      </c>
      <c r="BG94" t="e">
        <f>AND(#REF!,"AAAAAHf/3jo=")</f>
        <v>#REF!</v>
      </c>
      <c r="BH94" t="e">
        <f>IF(#REF!,"AAAAAHf/3js=",0)</f>
        <v>#REF!</v>
      </c>
      <c r="BI94" t="e">
        <f>AND(#REF!,"AAAAAHf/3jw=")</f>
        <v>#REF!</v>
      </c>
      <c r="BJ94" t="e">
        <f>AND(#REF!,"AAAAAHf/3j0=")</f>
        <v>#REF!</v>
      </c>
      <c r="BK94" t="e">
        <f>AND(#REF!,"AAAAAHf/3j4=")</f>
        <v>#REF!</v>
      </c>
      <c r="BL94" t="e">
        <f>AND(#REF!,"AAAAAHf/3j8=")</f>
        <v>#REF!</v>
      </c>
      <c r="BM94" t="e">
        <f>AND(#REF!,"AAAAAHf/3kA=")</f>
        <v>#REF!</v>
      </c>
      <c r="BN94" t="e">
        <f>AND(#REF!,"AAAAAHf/3kE=")</f>
        <v>#REF!</v>
      </c>
      <c r="BO94" t="e">
        <f>IF(#REF!,"AAAAAHf/3kI=",0)</f>
        <v>#REF!</v>
      </c>
      <c r="BP94" t="e">
        <f>AND(#REF!,"AAAAAHf/3kM=")</f>
        <v>#REF!</v>
      </c>
      <c r="BQ94" t="e">
        <f>AND(#REF!,"AAAAAHf/3kQ=")</f>
        <v>#REF!</v>
      </c>
      <c r="BR94" t="e">
        <f>AND(#REF!,"AAAAAHf/3kU=")</f>
        <v>#REF!</v>
      </c>
      <c r="BS94" t="e">
        <f>AND(#REF!,"AAAAAHf/3kY=")</f>
        <v>#REF!</v>
      </c>
      <c r="BT94" t="e">
        <f>AND(#REF!,"AAAAAHf/3kc=")</f>
        <v>#REF!</v>
      </c>
      <c r="BU94" t="e">
        <f>AND(#REF!,"AAAAAHf/3kg=")</f>
        <v>#REF!</v>
      </c>
      <c r="BV94" t="e">
        <f>IF(#REF!,"AAAAAHf/3kk=",0)</f>
        <v>#REF!</v>
      </c>
      <c r="BW94" t="e">
        <f>AND(#REF!,"AAAAAHf/3ko=")</f>
        <v>#REF!</v>
      </c>
      <c r="BX94" t="e">
        <f>AND(#REF!,"AAAAAHf/3ks=")</f>
        <v>#REF!</v>
      </c>
      <c r="BY94" t="e">
        <f>AND(#REF!,"AAAAAHf/3kw=")</f>
        <v>#REF!</v>
      </c>
      <c r="BZ94" t="e">
        <f>AND(#REF!,"AAAAAHf/3k0=")</f>
        <v>#REF!</v>
      </c>
      <c r="CA94" t="e">
        <f>AND(#REF!,"AAAAAHf/3k4=")</f>
        <v>#REF!</v>
      </c>
      <c r="CB94" t="e">
        <f>AND(#REF!,"AAAAAHf/3k8=")</f>
        <v>#REF!</v>
      </c>
      <c r="CC94" t="e">
        <f>IF(#REF!,"AAAAAHf/3lA=",0)</f>
        <v>#REF!</v>
      </c>
      <c r="CD94" t="e">
        <f>AND(#REF!,"AAAAAHf/3lE=")</f>
        <v>#REF!</v>
      </c>
      <c r="CE94" t="e">
        <f>AND(#REF!,"AAAAAHf/3lI=")</f>
        <v>#REF!</v>
      </c>
      <c r="CF94" t="e">
        <f>AND(#REF!,"AAAAAHf/3lM=")</f>
        <v>#REF!</v>
      </c>
      <c r="CG94" t="e">
        <f>AND(#REF!,"AAAAAHf/3lQ=")</f>
        <v>#REF!</v>
      </c>
      <c r="CH94" t="e">
        <f>AND(#REF!,"AAAAAHf/3lU=")</f>
        <v>#REF!</v>
      </c>
      <c r="CI94" t="e">
        <f>AND(#REF!,"AAAAAHf/3lY=")</f>
        <v>#REF!</v>
      </c>
      <c r="CJ94" t="e">
        <f>IF(#REF!,"AAAAAHf/3lc=",0)</f>
        <v>#REF!</v>
      </c>
      <c r="CK94" t="e">
        <f>AND(#REF!,"AAAAAHf/3lg=")</f>
        <v>#REF!</v>
      </c>
      <c r="CL94" t="e">
        <f>AND(#REF!,"AAAAAHf/3lk=")</f>
        <v>#REF!</v>
      </c>
      <c r="CM94" t="e">
        <f>AND(#REF!,"AAAAAHf/3lo=")</f>
        <v>#REF!</v>
      </c>
      <c r="CN94" t="e">
        <f>AND(#REF!,"AAAAAHf/3ls=")</f>
        <v>#REF!</v>
      </c>
      <c r="CO94" t="e">
        <f>AND(#REF!,"AAAAAHf/3lw=")</f>
        <v>#REF!</v>
      </c>
      <c r="CP94" t="e">
        <f>AND(#REF!,"AAAAAHf/3l0=")</f>
        <v>#REF!</v>
      </c>
      <c r="CQ94" t="e">
        <f>IF(#REF!,"AAAAAHf/3l4=",0)</f>
        <v>#REF!</v>
      </c>
      <c r="CR94" t="e">
        <f>AND(#REF!,"AAAAAHf/3l8=")</f>
        <v>#REF!</v>
      </c>
      <c r="CS94" t="e">
        <f>AND(#REF!,"AAAAAHf/3mA=")</f>
        <v>#REF!</v>
      </c>
      <c r="CT94" t="e">
        <f>AND(#REF!,"AAAAAHf/3mE=")</f>
        <v>#REF!</v>
      </c>
      <c r="CU94" t="e">
        <f>AND(#REF!,"AAAAAHf/3mI=")</f>
        <v>#REF!</v>
      </c>
      <c r="CV94" t="e">
        <f>AND(#REF!,"AAAAAHf/3mM=")</f>
        <v>#REF!</v>
      </c>
      <c r="CW94" t="e">
        <f>AND(#REF!,"AAAAAHf/3mQ=")</f>
        <v>#REF!</v>
      </c>
      <c r="CX94" t="e">
        <f>IF(#REF!,"AAAAAHf/3mU=",0)</f>
        <v>#REF!</v>
      </c>
      <c r="CY94" t="e">
        <f>AND(#REF!,"AAAAAHf/3mY=")</f>
        <v>#REF!</v>
      </c>
      <c r="CZ94" t="e">
        <f>AND(#REF!,"AAAAAHf/3mc=")</f>
        <v>#REF!</v>
      </c>
      <c r="DA94" t="e">
        <f>AND(#REF!,"AAAAAHf/3mg=")</f>
        <v>#REF!</v>
      </c>
      <c r="DB94" t="e">
        <f>AND(#REF!,"AAAAAHf/3mk=")</f>
        <v>#REF!</v>
      </c>
      <c r="DC94" t="e">
        <f>AND(#REF!,"AAAAAHf/3mo=")</f>
        <v>#REF!</v>
      </c>
      <c r="DD94" t="e">
        <f>AND(#REF!,"AAAAAHf/3ms=")</f>
        <v>#REF!</v>
      </c>
      <c r="DE94" t="e">
        <f>IF(#REF!,"AAAAAHf/3mw=",0)</f>
        <v>#REF!</v>
      </c>
      <c r="DF94" t="e">
        <f>AND(#REF!,"AAAAAHf/3m0=")</f>
        <v>#REF!</v>
      </c>
      <c r="DG94" t="e">
        <f>AND(#REF!,"AAAAAHf/3m4=")</f>
        <v>#REF!</v>
      </c>
      <c r="DH94" t="e">
        <f>AND(#REF!,"AAAAAHf/3m8=")</f>
        <v>#REF!</v>
      </c>
      <c r="DI94" t="e">
        <f>AND(#REF!,"AAAAAHf/3nA=")</f>
        <v>#REF!</v>
      </c>
      <c r="DJ94" t="e">
        <f>AND(#REF!,"AAAAAHf/3nE=")</f>
        <v>#REF!</v>
      </c>
      <c r="DK94" t="e">
        <f>AND(#REF!,"AAAAAHf/3nI=")</f>
        <v>#REF!</v>
      </c>
      <c r="DL94" t="e">
        <f>IF(#REF!,"AAAAAHf/3nM=",0)</f>
        <v>#REF!</v>
      </c>
      <c r="DM94" t="e">
        <f>AND(#REF!,"AAAAAHf/3nQ=")</f>
        <v>#REF!</v>
      </c>
      <c r="DN94" t="e">
        <f>AND(#REF!,"AAAAAHf/3nU=")</f>
        <v>#REF!</v>
      </c>
      <c r="DO94" t="e">
        <f>AND(#REF!,"AAAAAHf/3nY=")</f>
        <v>#REF!</v>
      </c>
      <c r="DP94" t="e">
        <f>AND(#REF!,"AAAAAHf/3nc=")</f>
        <v>#REF!</v>
      </c>
      <c r="DQ94" t="e">
        <f>AND(#REF!,"AAAAAHf/3ng=")</f>
        <v>#REF!</v>
      </c>
      <c r="DR94" t="e">
        <f>AND(#REF!,"AAAAAHf/3nk=")</f>
        <v>#REF!</v>
      </c>
      <c r="DS94" t="e">
        <f>IF(#REF!,"AAAAAHf/3no=",0)</f>
        <v>#REF!</v>
      </c>
      <c r="DT94" t="e">
        <f>AND(#REF!,"AAAAAHf/3ns=")</f>
        <v>#REF!</v>
      </c>
      <c r="DU94" t="e">
        <f>AND(#REF!,"AAAAAHf/3nw=")</f>
        <v>#REF!</v>
      </c>
      <c r="DV94" t="e">
        <f>AND(#REF!,"AAAAAHf/3n0=")</f>
        <v>#REF!</v>
      </c>
      <c r="DW94" t="e">
        <f>AND(#REF!,"AAAAAHf/3n4=")</f>
        <v>#REF!</v>
      </c>
      <c r="DX94" t="e">
        <f>AND(#REF!,"AAAAAHf/3n8=")</f>
        <v>#REF!</v>
      </c>
      <c r="DY94" t="e">
        <f>AND(#REF!,"AAAAAHf/3oA=")</f>
        <v>#REF!</v>
      </c>
      <c r="DZ94" t="e">
        <f>IF(#REF!,"AAAAAHf/3oE=",0)</f>
        <v>#REF!</v>
      </c>
      <c r="EA94" t="e">
        <f>AND(#REF!,"AAAAAHf/3oI=")</f>
        <v>#REF!</v>
      </c>
      <c r="EB94" t="e">
        <f>AND(#REF!,"AAAAAHf/3oM=")</f>
        <v>#REF!</v>
      </c>
      <c r="EC94" t="e">
        <f>AND(#REF!,"AAAAAHf/3oQ=")</f>
        <v>#REF!</v>
      </c>
      <c r="ED94" t="e">
        <f>AND(#REF!,"AAAAAHf/3oU=")</f>
        <v>#REF!</v>
      </c>
      <c r="EE94" t="e">
        <f>AND(#REF!,"AAAAAHf/3oY=")</f>
        <v>#REF!</v>
      </c>
      <c r="EF94" t="e">
        <f>AND(#REF!,"AAAAAHf/3oc=")</f>
        <v>#REF!</v>
      </c>
      <c r="EG94" t="e">
        <f>IF(#REF!,"AAAAAHf/3og=",0)</f>
        <v>#REF!</v>
      </c>
      <c r="EH94" t="e">
        <f>AND(#REF!,"AAAAAHf/3ok=")</f>
        <v>#REF!</v>
      </c>
      <c r="EI94" t="e">
        <f>AND(#REF!,"AAAAAHf/3oo=")</f>
        <v>#REF!</v>
      </c>
      <c r="EJ94" t="e">
        <f>AND(#REF!,"AAAAAHf/3os=")</f>
        <v>#REF!</v>
      </c>
      <c r="EK94" t="e">
        <f>AND(#REF!,"AAAAAHf/3ow=")</f>
        <v>#REF!</v>
      </c>
      <c r="EL94" t="e">
        <f>AND(#REF!,"AAAAAHf/3o0=")</f>
        <v>#REF!</v>
      </c>
      <c r="EM94" t="e">
        <f>AND(#REF!,"AAAAAHf/3o4=")</f>
        <v>#REF!</v>
      </c>
      <c r="EN94" t="e">
        <f>IF(#REF!,"AAAAAHf/3o8=",0)</f>
        <v>#REF!</v>
      </c>
      <c r="EO94" t="e">
        <f>AND(#REF!,"AAAAAHf/3pA=")</f>
        <v>#REF!</v>
      </c>
      <c r="EP94" t="e">
        <f>AND(#REF!,"AAAAAHf/3pE=")</f>
        <v>#REF!</v>
      </c>
      <c r="EQ94" t="e">
        <f>AND(#REF!,"AAAAAHf/3pI=")</f>
        <v>#REF!</v>
      </c>
      <c r="ER94" t="e">
        <f>AND(#REF!,"AAAAAHf/3pM=")</f>
        <v>#REF!</v>
      </c>
      <c r="ES94" t="e">
        <f>AND(#REF!,"AAAAAHf/3pQ=")</f>
        <v>#REF!</v>
      </c>
      <c r="ET94" t="e">
        <f>AND(#REF!,"AAAAAHf/3pU=")</f>
        <v>#REF!</v>
      </c>
      <c r="EU94" t="e">
        <f>IF(#REF!,"AAAAAHf/3pY=",0)</f>
        <v>#REF!</v>
      </c>
      <c r="EV94" t="e">
        <f>AND(#REF!,"AAAAAHf/3pc=")</f>
        <v>#REF!</v>
      </c>
      <c r="EW94" t="e">
        <f>AND(#REF!,"AAAAAHf/3pg=")</f>
        <v>#REF!</v>
      </c>
      <c r="EX94" t="e">
        <f>AND(#REF!,"AAAAAHf/3pk=")</f>
        <v>#REF!</v>
      </c>
      <c r="EY94" t="e">
        <f>AND(#REF!,"AAAAAHf/3po=")</f>
        <v>#REF!</v>
      </c>
      <c r="EZ94" t="e">
        <f>AND(#REF!,"AAAAAHf/3ps=")</f>
        <v>#REF!</v>
      </c>
      <c r="FA94" t="e">
        <f>AND(#REF!,"AAAAAHf/3pw=")</f>
        <v>#REF!</v>
      </c>
      <c r="FB94" t="e">
        <f>IF(#REF!,"AAAAAHf/3p0=",0)</f>
        <v>#REF!</v>
      </c>
      <c r="FC94" t="e">
        <f>AND(#REF!,"AAAAAHf/3p4=")</f>
        <v>#REF!</v>
      </c>
      <c r="FD94" t="e">
        <f>AND(#REF!,"AAAAAHf/3p8=")</f>
        <v>#REF!</v>
      </c>
      <c r="FE94" t="e">
        <f>AND(#REF!,"AAAAAHf/3qA=")</f>
        <v>#REF!</v>
      </c>
      <c r="FF94" t="e">
        <f>AND(#REF!,"AAAAAHf/3qE=")</f>
        <v>#REF!</v>
      </c>
      <c r="FG94" t="e">
        <f>AND(#REF!,"AAAAAHf/3qI=")</f>
        <v>#REF!</v>
      </c>
      <c r="FH94" t="e">
        <f>AND(#REF!,"AAAAAHf/3qM=")</f>
        <v>#REF!</v>
      </c>
      <c r="FI94" t="e">
        <f>IF(#REF!,"AAAAAHf/3qQ=",0)</f>
        <v>#REF!</v>
      </c>
      <c r="FJ94" t="e">
        <f>AND(#REF!,"AAAAAHf/3qU=")</f>
        <v>#REF!</v>
      </c>
      <c r="FK94" t="e">
        <f>AND(#REF!,"AAAAAHf/3qY=")</f>
        <v>#REF!</v>
      </c>
      <c r="FL94" t="e">
        <f>AND(#REF!,"AAAAAHf/3qc=")</f>
        <v>#REF!</v>
      </c>
      <c r="FM94" t="e">
        <f>AND(#REF!,"AAAAAHf/3qg=")</f>
        <v>#REF!</v>
      </c>
      <c r="FN94" t="e">
        <f>AND(#REF!,"AAAAAHf/3qk=")</f>
        <v>#REF!</v>
      </c>
      <c r="FO94" t="e">
        <f>AND(#REF!,"AAAAAHf/3qo=")</f>
        <v>#REF!</v>
      </c>
      <c r="FP94" t="e">
        <f>IF(#REF!,"AAAAAHf/3qs=",0)</f>
        <v>#REF!</v>
      </c>
      <c r="FQ94" t="e">
        <f>AND(#REF!,"AAAAAHf/3qw=")</f>
        <v>#REF!</v>
      </c>
      <c r="FR94" t="e">
        <f>AND(#REF!,"AAAAAHf/3q0=")</f>
        <v>#REF!</v>
      </c>
      <c r="FS94" t="e">
        <f>AND(#REF!,"AAAAAHf/3q4=")</f>
        <v>#REF!</v>
      </c>
      <c r="FT94" t="e">
        <f>AND(#REF!,"AAAAAHf/3q8=")</f>
        <v>#REF!</v>
      </c>
      <c r="FU94" t="e">
        <f>AND(#REF!,"AAAAAHf/3rA=")</f>
        <v>#REF!</v>
      </c>
      <c r="FV94" t="e">
        <f>AND(#REF!,"AAAAAHf/3rE=")</f>
        <v>#REF!</v>
      </c>
      <c r="FW94" t="e">
        <f>IF(#REF!,"AAAAAHf/3rI=",0)</f>
        <v>#REF!</v>
      </c>
      <c r="FX94" t="e">
        <f>AND(#REF!,"AAAAAHf/3rM=")</f>
        <v>#REF!</v>
      </c>
      <c r="FY94" t="e">
        <f>AND(#REF!,"AAAAAHf/3rQ=")</f>
        <v>#REF!</v>
      </c>
      <c r="FZ94" t="e">
        <f>AND(#REF!,"AAAAAHf/3rU=")</f>
        <v>#REF!</v>
      </c>
      <c r="GA94" t="e">
        <f>AND(#REF!,"AAAAAHf/3rY=")</f>
        <v>#REF!</v>
      </c>
      <c r="GB94" t="e">
        <f>AND(#REF!,"AAAAAHf/3rc=")</f>
        <v>#REF!</v>
      </c>
      <c r="GC94" t="e">
        <f>AND(#REF!,"AAAAAHf/3rg=")</f>
        <v>#REF!</v>
      </c>
      <c r="GD94" t="e">
        <f>IF(#REF!,"AAAAAHf/3rk=",0)</f>
        <v>#REF!</v>
      </c>
      <c r="GE94" t="e">
        <f>AND(#REF!,"AAAAAHf/3ro=")</f>
        <v>#REF!</v>
      </c>
      <c r="GF94" t="e">
        <f>AND(#REF!,"AAAAAHf/3rs=")</f>
        <v>#REF!</v>
      </c>
      <c r="GG94" t="e">
        <f>AND(#REF!,"AAAAAHf/3rw=")</f>
        <v>#REF!</v>
      </c>
      <c r="GH94" t="e">
        <f>AND(#REF!,"AAAAAHf/3r0=")</f>
        <v>#REF!</v>
      </c>
      <c r="GI94" t="e">
        <f>AND(#REF!,"AAAAAHf/3r4=")</f>
        <v>#REF!</v>
      </c>
      <c r="GJ94" t="e">
        <f>AND(#REF!,"AAAAAHf/3r8=")</f>
        <v>#REF!</v>
      </c>
      <c r="GK94" t="e">
        <f>IF(#REF!,"AAAAAHf/3sA=",0)</f>
        <v>#REF!</v>
      </c>
      <c r="GL94" t="e">
        <f>AND(#REF!,"AAAAAHf/3sE=")</f>
        <v>#REF!</v>
      </c>
      <c r="GM94" t="e">
        <f>AND(#REF!,"AAAAAHf/3sI=")</f>
        <v>#REF!</v>
      </c>
      <c r="GN94" t="e">
        <f>AND(#REF!,"AAAAAHf/3sM=")</f>
        <v>#REF!</v>
      </c>
      <c r="GO94" t="e">
        <f>AND(#REF!,"AAAAAHf/3sQ=")</f>
        <v>#REF!</v>
      </c>
      <c r="GP94" t="e">
        <f>AND(#REF!,"AAAAAHf/3sU=")</f>
        <v>#REF!</v>
      </c>
      <c r="GQ94" t="e">
        <f>AND(#REF!,"AAAAAHf/3sY=")</f>
        <v>#REF!</v>
      </c>
      <c r="GR94" t="e">
        <f>IF(#REF!,"AAAAAHf/3sc=",0)</f>
        <v>#REF!</v>
      </c>
      <c r="GS94" t="e">
        <f>AND(#REF!,"AAAAAHf/3sg=")</f>
        <v>#REF!</v>
      </c>
      <c r="GT94" t="e">
        <f>AND(#REF!,"AAAAAHf/3sk=")</f>
        <v>#REF!</v>
      </c>
      <c r="GU94" t="e">
        <f>AND(#REF!,"AAAAAHf/3so=")</f>
        <v>#REF!</v>
      </c>
      <c r="GV94" t="e">
        <f>AND(#REF!,"AAAAAHf/3ss=")</f>
        <v>#REF!</v>
      </c>
      <c r="GW94" t="e">
        <f>AND(#REF!,"AAAAAHf/3sw=")</f>
        <v>#REF!</v>
      </c>
      <c r="GX94" t="e">
        <f>AND(#REF!,"AAAAAHf/3s0=")</f>
        <v>#REF!</v>
      </c>
      <c r="GY94" t="e">
        <f>IF(#REF!,"AAAAAHf/3s4=",0)</f>
        <v>#REF!</v>
      </c>
      <c r="GZ94" t="e">
        <f>AND(#REF!,"AAAAAHf/3s8=")</f>
        <v>#REF!</v>
      </c>
      <c r="HA94" t="e">
        <f>AND(#REF!,"AAAAAHf/3tA=")</f>
        <v>#REF!</v>
      </c>
      <c r="HB94" t="e">
        <f>AND(#REF!,"AAAAAHf/3tE=")</f>
        <v>#REF!</v>
      </c>
      <c r="HC94" t="e">
        <f>AND(#REF!,"AAAAAHf/3tI=")</f>
        <v>#REF!</v>
      </c>
      <c r="HD94" t="e">
        <f>AND(#REF!,"AAAAAHf/3tM=")</f>
        <v>#REF!</v>
      </c>
      <c r="HE94" t="e">
        <f>AND(#REF!,"AAAAAHf/3tQ=")</f>
        <v>#REF!</v>
      </c>
      <c r="HF94" t="e">
        <f>IF(#REF!,"AAAAAHf/3tU=",0)</f>
        <v>#REF!</v>
      </c>
      <c r="HG94" t="e">
        <f>AND(#REF!,"AAAAAHf/3tY=")</f>
        <v>#REF!</v>
      </c>
      <c r="HH94" t="e">
        <f>AND(#REF!,"AAAAAHf/3tc=")</f>
        <v>#REF!</v>
      </c>
      <c r="HI94" t="e">
        <f>AND(#REF!,"AAAAAHf/3tg=")</f>
        <v>#REF!</v>
      </c>
      <c r="HJ94" t="e">
        <f>AND(#REF!,"AAAAAHf/3tk=")</f>
        <v>#REF!</v>
      </c>
      <c r="HK94" t="e">
        <f>AND(#REF!,"AAAAAHf/3to=")</f>
        <v>#REF!</v>
      </c>
      <c r="HL94" t="e">
        <f>AND(#REF!,"AAAAAHf/3ts=")</f>
        <v>#REF!</v>
      </c>
      <c r="HM94" t="e">
        <f>IF(#REF!,"AAAAAHf/3tw=",0)</f>
        <v>#REF!</v>
      </c>
      <c r="HN94" t="e">
        <f>AND(#REF!,"AAAAAHf/3t0=")</f>
        <v>#REF!</v>
      </c>
      <c r="HO94" t="e">
        <f>AND(#REF!,"AAAAAHf/3t4=")</f>
        <v>#REF!</v>
      </c>
      <c r="HP94" t="e">
        <f>AND(#REF!,"AAAAAHf/3t8=")</f>
        <v>#REF!</v>
      </c>
      <c r="HQ94" t="e">
        <f>AND(#REF!,"AAAAAHf/3uA=")</f>
        <v>#REF!</v>
      </c>
      <c r="HR94" t="e">
        <f>AND(#REF!,"AAAAAHf/3uE=")</f>
        <v>#REF!</v>
      </c>
      <c r="HS94" t="e">
        <f>AND(#REF!,"AAAAAHf/3uI=")</f>
        <v>#REF!</v>
      </c>
      <c r="HT94" t="e">
        <f>IF(#REF!,"AAAAAHf/3uM=",0)</f>
        <v>#REF!</v>
      </c>
      <c r="HU94" t="e">
        <f>AND(#REF!,"AAAAAHf/3uQ=")</f>
        <v>#REF!</v>
      </c>
      <c r="HV94" t="e">
        <f>AND(#REF!,"AAAAAHf/3uU=")</f>
        <v>#REF!</v>
      </c>
      <c r="HW94" t="e">
        <f>AND(#REF!,"AAAAAHf/3uY=")</f>
        <v>#REF!</v>
      </c>
      <c r="HX94" t="e">
        <f>AND(#REF!,"AAAAAHf/3uc=")</f>
        <v>#REF!</v>
      </c>
      <c r="HY94" t="e">
        <f>AND(#REF!,"AAAAAHf/3ug=")</f>
        <v>#REF!</v>
      </c>
      <c r="HZ94" t="e">
        <f>AND(#REF!,"AAAAAHf/3uk=")</f>
        <v>#REF!</v>
      </c>
      <c r="IA94" t="e">
        <f>IF(#REF!,"AAAAAHf/3uo=",0)</f>
        <v>#REF!</v>
      </c>
      <c r="IB94" t="e">
        <f>AND(#REF!,"AAAAAHf/3us=")</f>
        <v>#REF!</v>
      </c>
      <c r="IC94" t="e">
        <f>AND(#REF!,"AAAAAHf/3uw=")</f>
        <v>#REF!</v>
      </c>
      <c r="ID94" t="e">
        <f>AND(#REF!,"AAAAAHf/3u0=")</f>
        <v>#REF!</v>
      </c>
      <c r="IE94" t="e">
        <f>AND(#REF!,"AAAAAHf/3u4=")</f>
        <v>#REF!</v>
      </c>
      <c r="IF94" t="e">
        <f>AND(#REF!,"AAAAAHf/3u8=")</f>
        <v>#REF!</v>
      </c>
      <c r="IG94" t="e">
        <f>AND(#REF!,"AAAAAHf/3vA=")</f>
        <v>#REF!</v>
      </c>
      <c r="IH94" t="e">
        <f>IF(#REF!,"AAAAAHf/3vE=",0)</f>
        <v>#REF!</v>
      </c>
      <c r="II94" t="e">
        <f>AND(#REF!,"AAAAAHf/3vI=")</f>
        <v>#REF!</v>
      </c>
      <c r="IJ94" t="e">
        <f>AND(#REF!,"AAAAAHf/3vM=")</f>
        <v>#REF!</v>
      </c>
      <c r="IK94" t="e">
        <f>AND(#REF!,"AAAAAHf/3vQ=")</f>
        <v>#REF!</v>
      </c>
      <c r="IL94" t="e">
        <f>AND(#REF!,"AAAAAHf/3vU=")</f>
        <v>#REF!</v>
      </c>
      <c r="IM94" t="e">
        <f>AND(#REF!,"AAAAAHf/3vY=")</f>
        <v>#REF!</v>
      </c>
      <c r="IN94" t="e">
        <f>AND(#REF!,"AAAAAHf/3vc=")</f>
        <v>#REF!</v>
      </c>
      <c r="IO94" t="e">
        <f>IF(#REF!,"AAAAAHf/3vg=",0)</f>
        <v>#REF!</v>
      </c>
      <c r="IP94" t="e">
        <f>AND(#REF!,"AAAAAHf/3vk=")</f>
        <v>#REF!</v>
      </c>
      <c r="IQ94" t="e">
        <f>AND(#REF!,"AAAAAHf/3vo=")</f>
        <v>#REF!</v>
      </c>
      <c r="IR94" t="e">
        <f>AND(#REF!,"AAAAAHf/3vs=")</f>
        <v>#REF!</v>
      </c>
      <c r="IS94" t="e">
        <f>AND(#REF!,"AAAAAHf/3vw=")</f>
        <v>#REF!</v>
      </c>
      <c r="IT94" t="e">
        <f>AND(#REF!,"AAAAAHf/3v0=")</f>
        <v>#REF!</v>
      </c>
      <c r="IU94" t="e">
        <f>AND(#REF!,"AAAAAHf/3v4=")</f>
        <v>#REF!</v>
      </c>
      <c r="IV94" t="e">
        <f>IF(#REF!,"AAAAAHf/3v8=",0)</f>
        <v>#REF!</v>
      </c>
    </row>
    <row r="95" spans="1:256" x14ac:dyDescent="0.15">
      <c r="A95" t="e">
        <f>AND(#REF!,"AAAAAG6txwA=")</f>
        <v>#REF!</v>
      </c>
      <c r="B95" t="e">
        <f>AND(#REF!,"AAAAAG6txwE=")</f>
        <v>#REF!</v>
      </c>
      <c r="C95" t="e">
        <f>AND(#REF!,"AAAAAG6txwI=")</f>
        <v>#REF!</v>
      </c>
      <c r="D95" t="e">
        <f>AND(#REF!,"AAAAAG6txwM=")</f>
        <v>#REF!</v>
      </c>
      <c r="E95" t="e">
        <f>AND(#REF!,"AAAAAG6txwQ=")</f>
        <v>#REF!</v>
      </c>
      <c r="F95" t="e">
        <f>AND(#REF!,"AAAAAG6txwU=")</f>
        <v>#REF!</v>
      </c>
      <c r="G95" t="e">
        <f>IF(#REF!,"AAAAAG6txwY=",0)</f>
        <v>#REF!</v>
      </c>
      <c r="H95" t="e">
        <f>AND(#REF!,"AAAAAG6txwc=")</f>
        <v>#REF!</v>
      </c>
      <c r="I95" t="e">
        <f>AND(#REF!,"AAAAAG6txwg=")</f>
        <v>#REF!</v>
      </c>
      <c r="J95" t="e">
        <f>AND(#REF!,"AAAAAG6txwk=")</f>
        <v>#REF!</v>
      </c>
      <c r="K95" t="e">
        <f>AND(#REF!,"AAAAAG6txwo=")</f>
        <v>#REF!</v>
      </c>
      <c r="L95" t="e">
        <f>AND(#REF!,"AAAAAG6txws=")</f>
        <v>#REF!</v>
      </c>
      <c r="M95" t="e">
        <f>AND(#REF!,"AAAAAG6txww=")</f>
        <v>#REF!</v>
      </c>
      <c r="N95" t="e">
        <f>IF(#REF!,"AAAAAG6txw0=",0)</f>
        <v>#REF!</v>
      </c>
      <c r="O95" t="e">
        <f>AND(#REF!,"AAAAAG6txw4=")</f>
        <v>#REF!</v>
      </c>
      <c r="P95" t="e">
        <f>AND(#REF!,"AAAAAG6txw8=")</f>
        <v>#REF!</v>
      </c>
      <c r="Q95" t="e">
        <f>AND(#REF!,"AAAAAG6txxA=")</f>
        <v>#REF!</v>
      </c>
      <c r="R95" t="e">
        <f>AND(#REF!,"AAAAAG6txxE=")</f>
        <v>#REF!</v>
      </c>
      <c r="S95" t="e">
        <f>AND(#REF!,"AAAAAG6txxI=")</f>
        <v>#REF!</v>
      </c>
      <c r="T95" t="e">
        <f>AND(#REF!,"AAAAAG6txxM=")</f>
        <v>#REF!</v>
      </c>
      <c r="U95" t="e">
        <f>IF(#REF!,"AAAAAG6txxQ=",0)</f>
        <v>#REF!</v>
      </c>
      <c r="V95" t="e">
        <f>AND(#REF!,"AAAAAG6txxU=")</f>
        <v>#REF!</v>
      </c>
      <c r="W95" t="e">
        <f>AND(#REF!,"AAAAAG6txxY=")</f>
        <v>#REF!</v>
      </c>
      <c r="X95" t="e">
        <f>AND(#REF!,"AAAAAG6txxc=")</f>
        <v>#REF!</v>
      </c>
      <c r="Y95" t="e">
        <f>AND(#REF!,"AAAAAG6txxg=")</f>
        <v>#REF!</v>
      </c>
      <c r="Z95" t="e">
        <f>AND(#REF!,"AAAAAG6txxk=")</f>
        <v>#REF!</v>
      </c>
      <c r="AA95" t="e">
        <f>AND(#REF!,"AAAAAG6txxo=")</f>
        <v>#REF!</v>
      </c>
      <c r="AB95" t="e">
        <f>IF(#REF!,"AAAAAG6txxs=",0)</f>
        <v>#REF!</v>
      </c>
      <c r="AC95" t="e">
        <f>AND(#REF!,"AAAAAG6txxw=")</f>
        <v>#REF!</v>
      </c>
      <c r="AD95" t="e">
        <f>AND(#REF!,"AAAAAG6txx0=")</f>
        <v>#REF!</v>
      </c>
      <c r="AE95" t="e">
        <f>AND(#REF!,"AAAAAG6txx4=")</f>
        <v>#REF!</v>
      </c>
      <c r="AF95" t="e">
        <f>AND(#REF!,"AAAAAG6txx8=")</f>
        <v>#REF!</v>
      </c>
      <c r="AG95" t="e">
        <f>AND(#REF!,"AAAAAG6txyA=")</f>
        <v>#REF!</v>
      </c>
      <c r="AH95" t="e">
        <f>AND(#REF!,"AAAAAG6txyE=")</f>
        <v>#REF!</v>
      </c>
      <c r="AI95" t="e">
        <f>IF(#REF!,"AAAAAG6txyI=",0)</f>
        <v>#REF!</v>
      </c>
      <c r="AJ95" t="e">
        <f>AND(#REF!,"AAAAAG6txyM=")</f>
        <v>#REF!</v>
      </c>
      <c r="AK95" t="e">
        <f>AND(#REF!,"AAAAAG6txyQ=")</f>
        <v>#REF!</v>
      </c>
      <c r="AL95" t="e">
        <f>AND(#REF!,"AAAAAG6txyU=")</f>
        <v>#REF!</v>
      </c>
      <c r="AM95" t="e">
        <f>AND(#REF!,"AAAAAG6txyY=")</f>
        <v>#REF!</v>
      </c>
      <c r="AN95" t="e">
        <f>AND(#REF!,"AAAAAG6txyc=")</f>
        <v>#REF!</v>
      </c>
      <c r="AO95" t="e">
        <f>AND(#REF!,"AAAAAG6txyg=")</f>
        <v>#REF!</v>
      </c>
      <c r="AP95" t="e">
        <f>IF(#REF!,"AAAAAG6txyk=",0)</f>
        <v>#REF!</v>
      </c>
      <c r="AQ95" t="e">
        <f>AND(#REF!,"AAAAAG6txyo=")</f>
        <v>#REF!</v>
      </c>
      <c r="AR95" t="e">
        <f>AND(#REF!,"AAAAAG6txys=")</f>
        <v>#REF!</v>
      </c>
      <c r="AS95" t="e">
        <f>AND(#REF!,"AAAAAG6txyw=")</f>
        <v>#REF!</v>
      </c>
      <c r="AT95" t="e">
        <f>AND(#REF!,"AAAAAG6txy0=")</f>
        <v>#REF!</v>
      </c>
      <c r="AU95" t="e">
        <f>AND(#REF!,"AAAAAG6txy4=")</f>
        <v>#REF!</v>
      </c>
      <c r="AV95" t="e">
        <f>AND(#REF!,"AAAAAG6txy8=")</f>
        <v>#REF!</v>
      </c>
      <c r="AW95" t="e">
        <f>IF(#REF!,"AAAAAG6txzA=",0)</f>
        <v>#REF!</v>
      </c>
      <c r="AX95" t="e">
        <f>AND(#REF!,"AAAAAG6txzE=")</f>
        <v>#REF!</v>
      </c>
      <c r="AY95" t="e">
        <f>AND(#REF!,"AAAAAG6txzI=")</f>
        <v>#REF!</v>
      </c>
      <c r="AZ95" t="e">
        <f>AND(#REF!,"AAAAAG6txzM=")</f>
        <v>#REF!</v>
      </c>
      <c r="BA95" t="e">
        <f>AND(#REF!,"AAAAAG6txzQ=")</f>
        <v>#REF!</v>
      </c>
      <c r="BB95" t="e">
        <f>AND(#REF!,"AAAAAG6txzU=")</f>
        <v>#REF!</v>
      </c>
      <c r="BC95" t="e">
        <f>AND(#REF!,"AAAAAG6txzY=")</f>
        <v>#REF!</v>
      </c>
      <c r="BD95" t="e">
        <f>IF(#REF!,"AAAAAG6txzc=",0)</f>
        <v>#REF!</v>
      </c>
      <c r="BE95" t="e">
        <f>AND(#REF!,"AAAAAG6txzg=")</f>
        <v>#REF!</v>
      </c>
      <c r="BF95" t="e">
        <f>AND(#REF!,"AAAAAG6txzk=")</f>
        <v>#REF!</v>
      </c>
      <c r="BG95" t="e">
        <f>AND(#REF!,"AAAAAG6txzo=")</f>
        <v>#REF!</v>
      </c>
      <c r="BH95" t="e">
        <f>AND(#REF!,"AAAAAG6txzs=")</f>
        <v>#REF!</v>
      </c>
      <c r="BI95" t="e">
        <f>AND(#REF!,"AAAAAG6txzw=")</f>
        <v>#REF!</v>
      </c>
      <c r="BJ95" t="e">
        <f>AND(#REF!,"AAAAAG6txz0=")</f>
        <v>#REF!</v>
      </c>
      <c r="BK95" t="e">
        <f>IF(#REF!,"AAAAAG6txz4=",0)</f>
        <v>#REF!</v>
      </c>
      <c r="BL95" t="e">
        <f>AND(#REF!,"AAAAAG6txz8=")</f>
        <v>#REF!</v>
      </c>
      <c r="BM95" t="e">
        <f>AND(#REF!,"AAAAAG6tx0A=")</f>
        <v>#REF!</v>
      </c>
      <c r="BN95" t="e">
        <f>AND(#REF!,"AAAAAG6tx0E=")</f>
        <v>#REF!</v>
      </c>
      <c r="BO95" t="e">
        <f>AND(#REF!,"AAAAAG6tx0I=")</f>
        <v>#REF!</v>
      </c>
      <c r="BP95" t="e">
        <f>AND(#REF!,"AAAAAG6tx0M=")</f>
        <v>#REF!</v>
      </c>
      <c r="BQ95" t="e">
        <f>AND(#REF!,"AAAAAG6tx0Q=")</f>
        <v>#REF!</v>
      </c>
      <c r="BR95" t="e">
        <f>IF(#REF!,"AAAAAG6tx0U=",0)</f>
        <v>#REF!</v>
      </c>
      <c r="BS95" t="e">
        <f>AND(#REF!,"AAAAAG6tx0Y=")</f>
        <v>#REF!</v>
      </c>
      <c r="BT95" t="e">
        <f>AND(#REF!,"AAAAAG6tx0c=")</f>
        <v>#REF!</v>
      </c>
      <c r="BU95" t="e">
        <f>AND(#REF!,"AAAAAG6tx0g=")</f>
        <v>#REF!</v>
      </c>
      <c r="BV95" t="e">
        <f>AND(#REF!,"AAAAAG6tx0k=")</f>
        <v>#REF!</v>
      </c>
      <c r="BW95" t="e">
        <f>AND(#REF!,"AAAAAG6tx0o=")</f>
        <v>#REF!</v>
      </c>
      <c r="BX95" t="e">
        <f>AND(#REF!,"AAAAAG6tx0s=")</f>
        <v>#REF!</v>
      </c>
      <c r="BY95" t="e">
        <f>IF(#REF!,"AAAAAG6tx0w=",0)</f>
        <v>#REF!</v>
      </c>
      <c r="BZ95" t="e">
        <f>AND(#REF!,"AAAAAG6tx00=")</f>
        <v>#REF!</v>
      </c>
      <c r="CA95" t="e">
        <f>AND(#REF!,"AAAAAG6tx04=")</f>
        <v>#REF!</v>
      </c>
      <c r="CB95" t="e">
        <f>AND(#REF!,"AAAAAG6tx08=")</f>
        <v>#REF!</v>
      </c>
      <c r="CC95" t="e">
        <f>AND(#REF!,"AAAAAG6tx1A=")</f>
        <v>#REF!</v>
      </c>
      <c r="CD95" t="e">
        <f>AND(#REF!,"AAAAAG6tx1E=")</f>
        <v>#REF!</v>
      </c>
      <c r="CE95" t="e">
        <f>AND(#REF!,"AAAAAG6tx1I=")</f>
        <v>#REF!</v>
      </c>
      <c r="CF95" t="e">
        <f>IF(#REF!,"AAAAAG6tx1M=",0)</f>
        <v>#REF!</v>
      </c>
      <c r="CG95" t="e">
        <f>AND(#REF!,"AAAAAG6tx1Q=")</f>
        <v>#REF!</v>
      </c>
      <c r="CH95" t="e">
        <f>AND(#REF!,"AAAAAG6tx1U=")</f>
        <v>#REF!</v>
      </c>
      <c r="CI95" t="e">
        <f>AND(#REF!,"AAAAAG6tx1Y=")</f>
        <v>#REF!</v>
      </c>
      <c r="CJ95" t="e">
        <f>AND(#REF!,"AAAAAG6tx1c=")</f>
        <v>#REF!</v>
      </c>
      <c r="CK95" t="e">
        <f>AND(#REF!,"AAAAAG6tx1g=")</f>
        <v>#REF!</v>
      </c>
      <c r="CL95" t="e">
        <f>AND(#REF!,"AAAAAG6tx1k=")</f>
        <v>#REF!</v>
      </c>
      <c r="CM95" t="e">
        <f>IF(#REF!,"AAAAAG6tx1o=",0)</f>
        <v>#REF!</v>
      </c>
      <c r="CN95" t="e">
        <f>AND(#REF!,"AAAAAG6tx1s=")</f>
        <v>#REF!</v>
      </c>
      <c r="CO95" t="e">
        <f>AND(#REF!,"AAAAAG6tx1w=")</f>
        <v>#REF!</v>
      </c>
      <c r="CP95" t="e">
        <f>AND(#REF!,"AAAAAG6tx10=")</f>
        <v>#REF!</v>
      </c>
      <c r="CQ95" t="e">
        <f>AND(#REF!,"AAAAAG6tx14=")</f>
        <v>#REF!</v>
      </c>
      <c r="CR95" t="e">
        <f>AND(#REF!,"AAAAAG6tx18=")</f>
        <v>#REF!</v>
      </c>
      <c r="CS95" t="e">
        <f>AND(#REF!,"AAAAAG6tx2A=")</f>
        <v>#REF!</v>
      </c>
      <c r="CT95" t="e">
        <f>IF(#REF!,"AAAAAG6tx2E=",0)</f>
        <v>#REF!</v>
      </c>
      <c r="CU95" t="e">
        <f>AND(#REF!,"AAAAAG6tx2I=")</f>
        <v>#REF!</v>
      </c>
      <c r="CV95" t="e">
        <f>AND(#REF!,"AAAAAG6tx2M=")</f>
        <v>#REF!</v>
      </c>
      <c r="CW95" t="e">
        <f>AND(#REF!,"AAAAAG6tx2Q=")</f>
        <v>#REF!</v>
      </c>
      <c r="CX95" t="e">
        <f>AND(#REF!,"AAAAAG6tx2U=")</f>
        <v>#REF!</v>
      </c>
      <c r="CY95" t="e">
        <f>AND(#REF!,"AAAAAG6tx2Y=")</f>
        <v>#REF!</v>
      </c>
      <c r="CZ95" t="e">
        <f>AND(#REF!,"AAAAAG6tx2c=")</f>
        <v>#REF!</v>
      </c>
      <c r="DA95" t="e">
        <f>IF(#REF!,"AAAAAG6tx2g=",0)</f>
        <v>#REF!</v>
      </c>
      <c r="DB95" t="e">
        <f>AND(#REF!,"AAAAAG6tx2k=")</f>
        <v>#REF!</v>
      </c>
      <c r="DC95" t="e">
        <f>AND(#REF!,"AAAAAG6tx2o=")</f>
        <v>#REF!</v>
      </c>
      <c r="DD95" t="e">
        <f>AND(#REF!,"AAAAAG6tx2s=")</f>
        <v>#REF!</v>
      </c>
      <c r="DE95" t="e">
        <f>AND(#REF!,"AAAAAG6tx2w=")</f>
        <v>#REF!</v>
      </c>
      <c r="DF95" t="e">
        <f>AND(#REF!,"AAAAAG6tx20=")</f>
        <v>#REF!</v>
      </c>
      <c r="DG95" t="e">
        <f>AND(#REF!,"AAAAAG6tx24=")</f>
        <v>#REF!</v>
      </c>
      <c r="DH95" t="e">
        <f>IF(#REF!,"AAAAAG6tx28=",0)</f>
        <v>#REF!</v>
      </c>
      <c r="DI95" t="e">
        <f>AND(#REF!,"AAAAAG6tx3A=")</f>
        <v>#REF!</v>
      </c>
      <c r="DJ95" t="e">
        <f>AND(#REF!,"AAAAAG6tx3E=")</f>
        <v>#REF!</v>
      </c>
      <c r="DK95" t="e">
        <f>AND(#REF!,"AAAAAG6tx3I=")</f>
        <v>#REF!</v>
      </c>
      <c r="DL95" t="e">
        <f>AND(#REF!,"AAAAAG6tx3M=")</f>
        <v>#REF!</v>
      </c>
      <c r="DM95" t="e">
        <f>AND(#REF!,"AAAAAG6tx3Q=")</f>
        <v>#REF!</v>
      </c>
      <c r="DN95" t="e">
        <f>AND(#REF!,"AAAAAG6tx3U=")</f>
        <v>#REF!</v>
      </c>
      <c r="DO95" t="e">
        <f>IF(#REF!,"AAAAAG6tx3Y=",0)</f>
        <v>#REF!</v>
      </c>
      <c r="DP95" t="e">
        <f>AND(#REF!,"AAAAAG6tx3c=")</f>
        <v>#REF!</v>
      </c>
      <c r="DQ95" t="e">
        <f>AND(#REF!,"AAAAAG6tx3g=")</f>
        <v>#REF!</v>
      </c>
      <c r="DR95" t="e">
        <f>AND(#REF!,"AAAAAG6tx3k=")</f>
        <v>#REF!</v>
      </c>
      <c r="DS95" t="e">
        <f>AND(#REF!,"AAAAAG6tx3o=")</f>
        <v>#REF!</v>
      </c>
      <c r="DT95" t="e">
        <f>AND(#REF!,"AAAAAG6tx3s=")</f>
        <v>#REF!</v>
      </c>
      <c r="DU95" t="e">
        <f>AND(#REF!,"AAAAAG6tx3w=")</f>
        <v>#REF!</v>
      </c>
      <c r="DV95" t="e">
        <f>IF(#REF!,"AAAAAG6tx30=",0)</f>
        <v>#REF!</v>
      </c>
      <c r="DW95" t="e">
        <f>AND(#REF!,"AAAAAG6tx34=")</f>
        <v>#REF!</v>
      </c>
      <c r="DX95" t="e">
        <f>AND(#REF!,"AAAAAG6tx38=")</f>
        <v>#REF!</v>
      </c>
      <c r="DY95" t="e">
        <f>AND(#REF!,"AAAAAG6tx4A=")</f>
        <v>#REF!</v>
      </c>
      <c r="DZ95" t="e">
        <f>AND(#REF!,"AAAAAG6tx4E=")</f>
        <v>#REF!</v>
      </c>
      <c r="EA95" t="e">
        <f>AND(#REF!,"AAAAAG6tx4I=")</f>
        <v>#REF!</v>
      </c>
      <c r="EB95" t="e">
        <f>AND(#REF!,"AAAAAG6tx4M=")</f>
        <v>#REF!</v>
      </c>
      <c r="EC95" t="e">
        <f>IF(#REF!,"AAAAAG6tx4Q=",0)</f>
        <v>#REF!</v>
      </c>
      <c r="ED95" t="e">
        <f>AND(#REF!,"AAAAAG6tx4U=")</f>
        <v>#REF!</v>
      </c>
      <c r="EE95" t="e">
        <f>AND(#REF!,"AAAAAG6tx4Y=")</f>
        <v>#REF!</v>
      </c>
      <c r="EF95" t="e">
        <f>AND(#REF!,"AAAAAG6tx4c=")</f>
        <v>#REF!</v>
      </c>
      <c r="EG95" t="e">
        <f>AND(#REF!,"AAAAAG6tx4g=")</f>
        <v>#REF!</v>
      </c>
      <c r="EH95" t="e">
        <f>AND(#REF!,"AAAAAG6tx4k=")</f>
        <v>#REF!</v>
      </c>
      <c r="EI95" t="e">
        <f>AND(#REF!,"AAAAAG6tx4o=")</f>
        <v>#REF!</v>
      </c>
      <c r="EJ95" t="e">
        <f>IF(#REF!,"AAAAAG6tx4s=",0)</f>
        <v>#REF!</v>
      </c>
      <c r="EK95" t="e">
        <f>AND(#REF!,"AAAAAG6tx4w=")</f>
        <v>#REF!</v>
      </c>
      <c r="EL95" t="e">
        <f>AND(#REF!,"AAAAAG6tx40=")</f>
        <v>#REF!</v>
      </c>
      <c r="EM95" t="e">
        <f>AND(#REF!,"AAAAAG6tx44=")</f>
        <v>#REF!</v>
      </c>
      <c r="EN95" t="e">
        <f>AND(#REF!,"AAAAAG6tx48=")</f>
        <v>#REF!</v>
      </c>
      <c r="EO95" t="e">
        <f>AND(#REF!,"AAAAAG6tx5A=")</f>
        <v>#REF!</v>
      </c>
      <c r="EP95" t="e">
        <f>AND(#REF!,"AAAAAG6tx5E=")</f>
        <v>#REF!</v>
      </c>
      <c r="EQ95" t="e">
        <f>IF(#REF!,"AAAAAG6tx5I=",0)</f>
        <v>#REF!</v>
      </c>
      <c r="ER95" t="e">
        <f>AND(#REF!,"AAAAAG6tx5M=")</f>
        <v>#REF!</v>
      </c>
      <c r="ES95" t="e">
        <f>AND(#REF!,"AAAAAG6tx5Q=")</f>
        <v>#REF!</v>
      </c>
      <c r="ET95" t="e">
        <f>AND(#REF!,"AAAAAG6tx5U=")</f>
        <v>#REF!</v>
      </c>
      <c r="EU95" t="e">
        <f>AND(#REF!,"AAAAAG6tx5Y=")</f>
        <v>#REF!</v>
      </c>
      <c r="EV95" t="e">
        <f>AND(#REF!,"AAAAAG6tx5c=")</f>
        <v>#REF!</v>
      </c>
      <c r="EW95" t="e">
        <f>AND(#REF!,"AAAAAG6tx5g=")</f>
        <v>#REF!</v>
      </c>
      <c r="EX95" t="e">
        <f>IF(#REF!,"AAAAAG6tx5k=",0)</f>
        <v>#REF!</v>
      </c>
      <c r="EY95" t="e">
        <f>AND(#REF!,"AAAAAG6tx5o=")</f>
        <v>#REF!</v>
      </c>
      <c r="EZ95" t="e">
        <f>AND(#REF!,"AAAAAG6tx5s=")</f>
        <v>#REF!</v>
      </c>
      <c r="FA95" t="e">
        <f>AND(#REF!,"AAAAAG6tx5w=")</f>
        <v>#REF!</v>
      </c>
      <c r="FB95" t="e">
        <f>AND(#REF!,"AAAAAG6tx50=")</f>
        <v>#REF!</v>
      </c>
      <c r="FC95" t="e">
        <f>AND(#REF!,"AAAAAG6tx54=")</f>
        <v>#REF!</v>
      </c>
      <c r="FD95" t="e">
        <f>AND(#REF!,"AAAAAG6tx58=")</f>
        <v>#REF!</v>
      </c>
      <c r="FE95" t="e">
        <f>IF(#REF!,"AAAAAG6tx6A=",0)</f>
        <v>#REF!</v>
      </c>
      <c r="FF95" t="e">
        <f>AND(#REF!,"AAAAAG6tx6E=")</f>
        <v>#REF!</v>
      </c>
      <c r="FG95" t="e">
        <f>AND(#REF!,"AAAAAG6tx6I=")</f>
        <v>#REF!</v>
      </c>
      <c r="FH95" t="e">
        <f>AND(#REF!,"AAAAAG6tx6M=")</f>
        <v>#REF!</v>
      </c>
      <c r="FI95" t="e">
        <f>AND(#REF!,"AAAAAG6tx6Q=")</f>
        <v>#REF!</v>
      </c>
      <c r="FJ95" t="e">
        <f>AND(#REF!,"AAAAAG6tx6U=")</f>
        <v>#REF!</v>
      </c>
      <c r="FK95" t="e">
        <f>AND(#REF!,"AAAAAG6tx6Y=")</f>
        <v>#REF!</v>
      </c>
      <c r="FL95" t="e">
        <f>IF(#REF!,"AAAAAG6tx6c=",0)</f>
        <v>#REF!</v>
      </c>
      <c r="FM95" t="e">
        <f>AND(#REF!,"AAAAAG6tx6g=")</f>
        <v>#REF!</v>
      </c>
      <c r="FN95" t="e">
        <f>AND(#REF!,"AAAAAG6tx6k=")</f>
        <v>#REF!</v>
      </c>
      <c r="FO95" t="e">
        <f>AND(#REF!,"AAAAAG6tx6o=")</f>
        <v>#REF!</v>
      </c>
      <c r="FP95" t="e">
        <f>AND(#REF!,"AAAAAG6tx6s=")</f>
        <v>#REF!</v>
      </c>
      <c r="FQ95" t="e">
        <f>AND(#REF!,"AAAAAG6tx6w=")</f>
        <v>#REF!</v>
      </c>
      <c r="FR95" t="e">
        <f>AND(#REF!,"AAAAAG6tx60=")</f>
        <v>#REF!</v>
      </c>
      <c r="FS95" t="e">
        <f>IF(#REF!,"AAAAAG6tx64=",0)</f>
        <v>#REF!</v>
      </c>
      <c r="FT95" t="e">
        <f>AND(#REF!,"AAAAAG6tx68=")</f>
        <v>#REF!</v>
      </c>
      <c r="FU95" t="e">
        <f>AND(#REF!,"AAAAAG6tx7A=")</f>
        <v>#REF!</v>
      </c>
      <c r="FV95" t="e">
        <f>AND(#REF!,"AAAAAG6tx7E=")</f>
        <v>#REF!</v>
      </c>
      <c r="FW95" t="e">
        <f>AND(#REF!,"AAAAAG6tx7I=")</f>
        <v>#REF!</v>
      </c>
      <c r="FX95" t="e">
        <f>AND(#REF!,"AAAAAG6tx7M=")</f>
        <v>#REF!</v>
      </c>
      <c r="FY95" t="e">
        <f>AND(#REF!,"AAAAAG6tx7Q=")</f>
        <v>#REF!</v>
      </c>
      <c r="FZ95" t="e">
        <f>IF(#REF!,"AAAAAG6tx7U=",0)</f>
        <v>#REF!</v>
      </c>
      <c r="GA95" t="e">
        <f>AND(#REF!,"AAAAAG6tx7Y=")</f>
        <v>#REF!</v>
      </c>
      <c r="GB95" t="e">
        <f>AND(#REF!,"AAAAAG6tx7c=")</f>
        <v>#REF!</v>
      </c>
      <c r="GC95" t="e">
        <f>AND(#REF!,"AAAAAG6tx7g=")</f>
        <v>#REF!</v>
      </c>
      <c r="GD95" t="e">
        <f>AND(#REF!,"AAAAAG6tx7k=")</f>
        <v>#REF!</v>
      </c>
      <c r="GE95" t="e">
        <f>AND(#REF!,"AAAAAG6tx7o=")</f>
        <v>#REF!</v>
      </c>
      <c r="GF95" t="e">
        <f>AND(#REF!,"AAAAAG6tx7s=")</f>
        <v>#REF!</v>
      </c>
      <c r="GG95" t="e">
        <f>IF(#REF!,"AAAAAG6tx7w=",0)</f>
        <v>#REF!</v>
      </c>
      <c r="GH95" t="e">
        <f>AND(#REF!,"AAAAAG6tx70=")</f>
        <v>#REF!</v>
      </c>
      <c r="GI95" t="e">
        <f>AND(#REF!,"AAAAAG6tx74=")</f>
        <v>#REF!</v>
      </c>
      <c r="GJ95" t="e">
        <f>AND(#REF!,"AAAAAG6tx78=")</f>
        <v>#REF!</v>
      </c>
      <c r="GK95" t="e">
        <f>AND(#REF!,"AAAAAG6tx8A=")</f>
        <v>#REF!</v>
      </c>
      <c r="GL95" t="e">
        <f>AND(#REF!,"AAAAAG6tx8E=")</f>
        <v>#REF!</v>
      </c>
      <c r="GM95" t="e">
        <f>AND(#REF!,"AAAAAG6tx8I=")</f>
        <v>#REF!</v>
      </c>
      <c r="GN95" t="e">
        <f>IF(#REF!,"AAAAAG6tx8M=",0)</f>
        <v>#REF!</v>
      </c>
      <c r="GO95" t="e">
        <f>AND(#REF!,"AAAAAG6tx8Q=")</f>
        <v>#REF!</v>
      </c>
      <c r="GP95" t="e">
        <f>AND(#REF!,"AAAAAG6tx8U=")</f>
        <v>#REF!</v>
      </c>
      <c r="GQ95" t="e">
        <f>AND(#REF!,"AAAAAG6tx8Y=")</f>
        <v>#REF!</v>
      </c>
      <c r="GR95" t="e">
        <f>AND(#REF!,"AAAAAG6tx8c=")</f>
        <v>#REF!</v>
      </c>
      <c r="GS95" t="e">
        <f>AND(#REF!,"AAAAAG6tx8g=")</f>
        <v>#REF!</v>
      </c>
      <c r="GT95" t="e">
        <f>AND(#REF!,"AAAAAG6tx8k=")</f>
        <v>#REF!</v>
      </c>
      <c r="GU95" t="e">
        <f>IF(#REF!,"AAAAAG6tx8o=",0)</f>
        <v>#REF!</v>
      </c>
      <c r="GV95" t="e">
        <f>AND(#REF!,"AAAAAG6tx8s=")</f>
        <v>#REF!</v>
      </c>
      <c r="GW95" t="e">
        <f>AND(#REF!,"AAAAAG6tx8w=")</f>
        <v>#REF!</v>
      </c>
      <c r="GX95" t="e">
        <f>AND(#REF!,"AAAAAG6tx80=")</f>
        <v>#REF!</v>
      </c>
      <c r="GY95" t="e">
        <f>AND(#REF!,"AAAAAG6tx84=")</f>
        <v>#REF!</v>
      </c>
      <c r="GZ95" t="e">
        <f>AND(#REF!,"AAAAAG6tx88=")</f>
        <v>#REF!</v>
      </c>
      <c r="HA95" t="e">
        <f>AND(#REF!,"AAAAAG6tx9A=")</f>
        <v>#REF!</v>
      </c>
      <c r="HB95" t="e">
        <f>IF(#REF!,"AAAAAG6tx9E=",0)</f>
        <v>#REF!</v>
      </c>
      <c r="HC95" t="e">
        <f>AND(#REF!,"AAAAAG6tx9I=")</f>
        <v>#REF!</v>
      </c>
      <c r="HD95" t="e">
        <f>AND(#REF!,"AAAAAG6tx9M=")</f>
        <v>#REF!</v>
      </c>
      <c r="HE95" t="e">
        <f>AND(#REF!,"AAAAAG6tx9Q=")</f>
        <v>#REF!</v>
      </c>
      <c r="HF95" t="e">
        <f>AND(#REF!,"AAAAAG6tx9U=")</f>
        <v>#REF!</v>
      </c>
      <c r="HG95" t="e">
        <f>AND(#REF!,"AAAAAG6tx9Y=")</f>
        <v>#REF!</v>
      </c>
      <c r="HH95" t="e">
        <f>AND(#REF!,"AAAAAG6tx9c=")</f>
        <v>#REF!</v>
      </c>
      <c r="HI95" t="e">
        <f>IF(#REF!,"AAAAAG6tx9g=",0)</f>
        <v>#REF!</v>
      </c>
      <c r="HJ95" t="e">
        <f>AND(#REF!,"AAAAAG6tx9k=")</f>
        <v>#REF!</v>
      </c>
      <c r="HK95" t="e">
        <f>AND(#REF!,"AAAAAG6tx9o=")</f>
        <v>#REF!</v>
      </c>
      <c r="HL95" t="e">
        <f>AND(#REF!,"AAAAAG6tx9s=")</f>
        <v>#REF!</v>
      </c>
      <c r="HM95" t="e">
        <f>AND(#REF!,"AAAAAG6tx9w=")</f>
        <v>#REF!</v>
      </c>
      <c r="HN95" t="e">
        <f>AND(#REF!,"AAAAAG6tx90=")</f>
        <v>#REF!</v>
      </c>
      <c r="HO95" t="e">
        <f>AND(#REF!,"AAAAAG6tx94=")</f>
        <v>#REF!</v>
      </c>
      <c r="HP95" t="e">
        <f>IF(#REF!,"AAAAAG6tx98=",0)</f>
        <v>#REF!</v>
      </c>
      <c r="HQ95" t="e">
        <f>AND(#REF!,"AAAAAG6tx+A=")</f>
        <v>#REF!</v>
      </c>
      <c r="HR95" t="e">
        <f>AND(#REF!,"AAAAAG6tx+E=")</f>
        <v>#REF!</v>
      </c>
      <c r="HS95" t="e">
        <f>AND(#REF!,"AAAAAG6tx+I=")</f>
        <v>#REF!</v>
      </c>
      <c r="HT95" t="e">
        <f>AND(#REF!,"AAAAAG6tx+M=")</f>
        <v>#REF!</v>
      </c>
      <c r="HU95" t="e">
        <f>AND(#REF!,"AAAAAG6tx+Q=")</f>
        <v>#REF!</v>
      </c>
      <c r="HV95" t="e">
        <f>AND(#REF!,"AAAAAG6tx+U=")</f>
        <v>#REF!</v>
      </c>
      <c r="HW95" t="e">
        <f>IF(#REF!,"AAAAAG6tx+Y=",0)</f>
        <v>#REF!</v>
      </c>
      <c r="HX95" t="e">
        <f>AND(#REF!,"AAAAAG6tx+c=")</f>
        <v>#REF!</v>
      </c>
      <c r="HY95" t="e">
        <f>AND(#REF!,"AAAAAG6tx+g=")</f>
        <v>#REF!</v>
      </c>
      <c r="HZ95" t="e">
        <f>AND(#REF!,"AAAAAG6tx+k=")</f>
        <v>#REF!</v>
      </c>
      <c r="IA95" t="e">
        <f>AND(#REF!,"AAAAAG6tx+o=")</f>
        <v>#REF!</v>
      </c>
      <c r="IB95" t="e">
        <f>AND(#REF!,"AAAAAG6tx+s=")</f>
        <v>#REF!</v>
      </c>
      <c r="IC95" t="e">
        <f>AND(#REF!,"AAAAAG6tx+w=")</f>
        <v>#REF!</v>
      </c>
      <c r="ID95" t="e">
        <f>IF(#REF!,"AAAAAG6tx+0=",0)</f>
        <v>#REF!</v>
      </c>
      <c r="IE95" t="e">
        <f>AND(#REF!,"AAAAAG6tx+4=")</f>
        <v>#REF!</v>
      </c>
      <c r="IF95" t="e">
        <f>AND(#REF!,"AAAAAG6tx+8=")</f>
        <v>#REF!</v>
      </c>
      <c r="IG95" t="e">
        <f>AND(#REF!,"AAAAAG6tx/A=")</f>
        <v>#REF!</v>
      </c>
      <c r="IH95" t="e">
        <f>AND(#REF!,"AAAAAG6tx/E=")</f>
        <v>#REF!</v>
      </c>
      <c r="II95" t="e">
        <f>AND(#REF!,"AAAAAG6tx/I=")</f>
        <v>#REF!</v>
      </c>
      <c r="IJ95" t="e">
        <f>AND(#REF!,"AAAAAG6tx/M=")</f>
        <v>#REF!</v>
      </c>
      <c r="IK95" t="e">
        <f>IF(#REF!,"AAAAAG6tx/Q=",0)</f>
        <v>#REF!</v>
      </c>
      <c r="IL95" t="e">
        <f>AND(#REF!,"AAAAAG6tx/U=")</f>
        <v>#REF!</v>
      </c>
      <c r="IM95" t="e">
        <f>AND(#REF!,"AAAAAG6tx/Y=")</f>
        <v>#REF!</v>
      </c>
      <c r="IN95" t="e">
        <f>AND(#REF!,"AAAAAG6tx/c=")</f>
        <v>#REF!</v>
      </c>
      <c r="IO95" t="e">
        <f>AND(#REF!,"AAAAAG6tx/g=")</f>
        <v>#REF!</v>
      </c>
      <c r="IP95" t="e">
        <f>AND(#REF!,"AAAAAG6tx/k=")</f>
        <v>#REF!</v>
      </c>
      <c r="IQ95" t="e">
        <f>AND(#REF!,"AAAAAG6tx/o=")</f>
        <v>#REF!</v>
      </c>
      <c r="IR95" t="e">
        <f>IF(#REF!,"AAAAAG6tx/s=",0)</f>
        <v>#REF!</v>
      </c>
      <c r="IS95" t="e">
        <f>AND(#REF!,"AAAAAG6tx/w=")</f>
        <v>#REF!</v>
      </c>
      <c r="IT95" t="e">
        <f>AND(#REF!,"AAAAAG6tx/0=")</f>
        <v>#REF!</v>
      </c>
      <c r="IU95" t="e">
        <f>AND(#REF!,"AAAAAG6tx/4=")</f>
        <v>#REF!</v>
      </c>
      <c r="IV95" t="e">
        <f>AND(#REF!,"AAAAAG6tx/8=")</f>
        <v>#REF!</v>
      </c>
    </row>
    <row r="96" spans="1:256" x14ac:dyDescent="0.15">
      <c r="A96" t="e">
        <f>AND(#REF!,"AAAAAH7rTgA=")</f>
        <v>#REF!</v>
      </c>
      <c r="B96" t="e">
        <f>AND(#REF!,"AAAAAH7rTgE=")</f>
        <v>#REF!</v>
      </c>
      <c r="C96" t="e">
        <f>IF(#REF!,"AAAAAH7rTgI=",0)</f>
        <v>#REF!</v>
      </c>
      <c r="D96" t="e">
        <f>AND(#REF!,"AAAAAH7rTgM=")</f>
        <v>#REF!</v>
      </c>
      <c r="E96" t="e">
        <f>AND(#REF!,"AAAAAH7rTgQ=")</f>
        <v>#REF!</v>
      </c>
      <c r="F96" t="e">
        <f>AND(#REF!,"AAAAAH7rTgU=")</f>
        <v>#REF!</v>
      </c>
      <c r="G96" t="e">
        <f>AND(#REF!,"AAAAAH7rTgY=")</f>
        <v>#REF!</v>
      </c>
      <c r="H96" t="e">
        <f>AND(#REF!,"AAAAAH7rTgc=")</f>
        <v>#REF!</v>
      </c>
      <c r="I96" t="e">
        <f>AND(#REF!,"AAAAAH7rTgg=")</f>
        <v>#REF!</v>
      </c>
      <c r="J96" t="e">
        <f>IF(#REF!,"AAAAAH7rTgk=",0)</f>
        <v>#REF!</v>
      </c>
      <c r="K96" t="e">
        <f>AND(#REF!,"AAAAAH7rTgo=")</f>
        <v>#REF!</v>
      </c>
      <c r="L96" t="e">
        <f>AND(#REF!,"AAAAAH7rTgs=")</f>
        <v>#REF!</v>
      </c>
      <c r="M96" t="e">
        <f>AND(#REF!,"AAAAAH7rTgw=")</f>
        <v>#REF!</v>
      </c>
      <c r="N96" t="e">
        <f>AND(#REF!,"AAAAAH7rTg0=")</f>
        <v>#REF!</v>
      </c>
      <c r="O96" t="e">
        <f>AND(#REF!,"AAAAAH7rTg4=")</f>
        <v>#REF!</v>
      </c>
      <c r="P96" t="e">
        <f>AND(#REF!,"AAAAAH7rTg8=")</f>
        <v>#REF!</v>
      </c>
      <c r="Q96" t="e">
        <f>IF(#REF!,"AAAAAH7rThA=",0)</f>
        <v>#REF!</v>
      </c>
      <c r="R96" t="e">
        <f>AND(#REF!,"AAAAAH7rThE=")</f>
        <v>#REF!</v>
      </c>
      <c r="S96" t="e">
        <f>AND(#REF!,"AAAAAH7rThI=")</f>
        <v>#REF!</v>
      </c>
      <c r="T96" t="e">
        <f>AND(#REF!,"AAAAAH7rThM=")</f>
        <v>#REF!</v>
      </c>
      <c r="U96" t="e">
        <f>AND(#REF!,"AAAAAH7rThQ=")</f>
        <v>#REF!</v>
      </c>
      <c r="V96" t="e">
        <f>AND(#REF!,"AAAAAH7rThU=")</f>
        <v>#REF!</v>
      </c>
      <c r="W96" t="e">
        <f>AND(#REF!,"AAAAAH7rThY=")</f>
        <v>#REF!</v>
      </c>
      <c r="X96" t="e">
        <f>IF(#REF!,"AAAAAH7rThc=",0)</f>
        <v>#REF!</v>
      </c>
      <c r="Y96" t="e">
        <f>AND(#REF!,"AAAAAH7rThg=")</f>
        <v>#REF!</v>
      </c>
      <c r="Z96" t="e">
        <f>AND(#REF!,"AAAAAH7rThk=")</f>
        <v>#REF!</v>
      </c>
      <c r="AA96" t="e">
        <f>AND(#REF!,"AAAAAH7rTho=")</f>
        <v>#REF!</v>
      </c>
      <c r="AB96" t="e">
        <f>AND(#REF!,"AAAAAH7rThs=")</f>
        <v>#REF!</v>
      </c>
      <c r="AC96" t="e">
        <f>AND(#REF!,"AAAAAH7rThw=")</f>
        <v>#REF!</v>
      </c>
      <c r="AD96" t="e">
        <f>AND(#REF!,"AAAAAH7rTh0=")</f>
        <v>#REF!</v>
      </c>
      <c r="AE96" t="e">
        <f>IF(#REF!,"AAAAAH7rTh4=",0)</f>
        <v>#REF!</v>
      </c>
      <c r="AF96" t="e">
        <f>AND(#REF!,"AAAAAH7rTh8=")</f>
        <v>#REF!</v>
      </c>
      <c r="AG96" t="e">
        <f>AND(#REF!,"AAAAAH7rTiA=")</f>
        <v>#REF!</v>
      </c>
      <c r="AH96" t="e">
        <f>AND(#REF!,"AAAAAH7rTiE=")</f>
        <v>#REF!</v>
      </c>
      <c r="AI96" t="e">
        <f>AND(#REF!,"AAAAAH7rTiI=")</f>
        <v>#REF!</v>
      </c>
      <c r="AJ96" t="e">
        <f>AND(#REF!,"AAAAAH7rTiM=")</f>
        <v>#REF!</v>
      </c>
      <c r="AK96" t="e">
        <f>AND(#REF!,"AAAAAH7rTiQ=")</f>
        <v>#REF!</v>
      </c>
      <c r="AL96" t="e">
        <f>IF(#REF!,"AAAAAH7rTiU=",0)</f>
        <v>#REF!</v>
      </c>
      <c r="AM96" t="e">
        <f>AND(#REF!,"AAAAAH7rTiY=")</f>
        <v>#REF!</v>
      </c>
      <c r="AN96" t="e">
        <f>AND(#REF!,"AAAAAH7rTic=")</f>
        <v>#REF!</v>
      </c>
      <c r="AO96" t="e">
        <f>AND(#REF!,"AAAAAH7rTig=")</f>
        <v>#REF!</v>
      </c>
      <c r="AP96" t="e">
        <f>AND(#REF!,"AAAAAH7rTik=")</f>
        <v>#REF!</v>
      </c>
      <c r="AQ96" t="e">
        <f>AND(#REF!,"AAAAAH7rTio=")</f>
        <v>#REF!</v>
      </c>
      <c r="AR96" t="e">
        <f>AND(#REF!,"AAAAAH7rTis=")</f>
        <v>#REF!</v>
      </c>
      <c r="AS96" t="e">
        <f>IF(#REF!,"AAAAAH7rTiw=",0)</f>
        <v>#REF!</v>
      </c>
      <c r="AT96" t="e">
        <f>AND(#REF!,"AAAAAH7rTi0=")</f>
        <v>#REF!</v>
      </c>
      <c r="AU96" t="e">
        <f>AND(#REF!,"AAAAAH7rTi4=")</f>
        <v>#REF!</v>
      </c>
      <c r="AV96" t="e">
        <f>AND(#REF!,"AAAAAH7rTi8=")</f>
        <v>#REF!</v>
      </c>
      <c r="AW96" t="e">
        <f>AND(#REF!,"AAAAAH7rTjA=")</f>
        <v>#REF!</v>
      </c>
      <c r="AX96" t="e">
        <f>AND(#REF!,"AAAAAH7rTjE=")</f>
        <v>#REF!</v>
      </c>
      <c r="AY96" t="e">
        <f>AND(#REF!,"AAAAAH7rTjI=")</f>
        <v>#REF!</v>
      </c>
      <c r="AZ96" t="e">
        <f>IF(#REF!,"AAAAAH7rTjM=",0)</f>
        <v>#REF!</v>
      </c>
      <c r="BA96" t="e">
        <f>AND(#REF!,"AAAAAH7rTjQ=")</f>
        <v>#REF!</v>
      </c>
      <c r="BB96" t="e">
        <f>AND(#REF!,"AAAAAH7rTjU=")</f>
        <v>#REF!</v>
      </c>
      <c r="BC96" t="e">
        <f>AND(#REF!,"AAAAAH7rTjY=")</f>
        <v>#REF!</v>
      </c>
      <c r="BD96" t="e">
        <f>AND(#REF!,"AAAAAH7rTjc=")</f>
        <v>#REF!</v>
      </c>
      <c r="BE96" t="e">
        <f>AND(#REF!,"AAAAAH7rTjg=")</f>
        <v>#REF!</v>
      </c>
      <c r="BF96" t="e">
        <f>AND(#REF!,"AAAAAH7rTjk=")</f>
        <v>#REF!</v>
      </c>
      <c r="BG96" t="e">
        <f>IF(#REF!,"AAAAAH7rTjo=",0)</f>
        <v>#REF!</v>
      </c>
      <c r="BH96" t="e">
        <f>AND(#REF!,"AAAAAH7rTjs=")</f>
        <v>#REF!</v>
      </c>
      <c r="BI96" t="e">
        <f>AND(#REF!,"AAAAAH7rTjw=")</f>
        <v>#REF!</v>
      </c>
      <c r="BJ96" t="e">
        <f>AND(#REF!,"AAAAAH7rTj0=")</f>
        <v>#REF!</v>
      </c>
      <c r="BK96" t="e">
        <f>AND(#REF!,"AAAAAH7rTj4=")</f>
        <v>#REF!</v>
      </c>
      <c r="BL96" t="e">
        <f>AND(#REF!,"AAAAAH7rTj8=")</f>
        <v>#REF!</v>
      </c>
      <c r="BM96" t="e">
        <f>AND(#REF!,"AAAAAH7rTkA=")</f>
        <v>#REF!</v>
      </c>
      <c r="BN96" t="e">
        <f>IF(#REF!,"AAAAAH7rTkE=",0)</f>
        <v>#REF!</v>
      </c>
      <c r="BO96" t="e">
        <f>AND(#REF!,"AAAAAH7rTkI=")</f>
        <v>#REF!</v>
      </c>
      <c r="BP96" t="e">
        <f>AND(#REF!,"AAAAAH7rTkM=")</f>
        <v>#REF!</v>
      </c>
      <c r="BQ96" t="e">
        <f>AND(#REF!,"AAAAAH7rTkQ=")</f>
        <v>#REF!</v>
      </c>
      <c r="BR96" t="e">
        <f>AND(#REF!,"AAAAAH7rTkU=")</f>
        <v>#REF!</v>
      </c>
      <c r="BS96" t="e">
        <f>AND(#REF!,"AAAAAH7rTkY=")</f>
        <v>#REF!</v>
      </c>
      <c r="BT96" t="e">
        <f>AND(#REF!,"AAAAAH7rTkc=")</f>
        <v>#REF!</v>
      </c>
      <c r="BU96" t="e">
        <f>IF(#REF!,"AAAAAH7rTkg=",0)</f>
        <v>#REF!</v>
      </c>
      <c r="BV96" t="e">
        <f>AND(#REF!,"AAAAAH7rTkk=")</f>
        <v>#REF!</v>
      </c>
      <c r="BW96" t="e">
        <f>AND(#REF!,"AAAAAH7rTko=")</f>
        <v>#REF!</v>
      </c>
      <c r="BX96" t="e">
        <f>AND(#REF!,"AAAAAH7rTks=")</f>
        <v>#REF!</v>
      </c>
      <c r="BY96" t="e">
        <f>AND(#REF!,"AAAAAH7rTkw=")</f>
        <v>#REF!</v>
      </c>
      <c r="BZ96" t="e">
        <f>AND(#REF!,"AAAAAH7rTk0=")</f>
        <v>#REF!</v>
      </c>
      <c r="CA96" t="e">
        <f>AND(#REF!,"AAAAAH7rTk4=")</f>
        <v>#REF!</v>
      </c>
      <c r="CB96" t="e">
        <f>IF(#REF!,"AAAAAH7rTk8=",0)</f>
        <v>#REF!</v>
      </c>
      <c r="CC96" t="e">
        <f>AND(#REF!,"AAAAAH7rTlA=")</f>
        <v>#REF!</v>
      </c>
      <c r="CD96" t="e">
        <f>AND(#REF!,"AAAAAH7rTlE=")</f>
        <v>#REF!</v>
      </c>
      <c r="CE96" t="e">
        <f>AND(#REF!,"AAAAAH7rTlI=")</f>
        <v>#REF!</v>
      </c>
      <c r="CF96" t="e">
        <f>AND(#REF!,"AAAAAH7rTlM=")</f>
        <v>#REF!</v>
      </c>
      <c r="CG96" t="e">
        <f>AND(#REF!,"AAAAAH7rTlQ=")</f>
        <v>#REF!</v>
      </c>
      <c r="CH96" t="e">
        <f>AND(#REF!,"AAAAAH7rTlU=")</f>
        <v>#REF!</v>
      </c>
      <c r="CI96" t="e">
        <f>IF(#REF!,"AAAAAH7rTlY=",0)</f>
        <v>#REF!</v>
      </c>
      <c r="CJ96" t="e">
        <f>AND(#REF!,"AAAAAH7rTlc=")</f>
        <v>#REF!</v>
      </c>
      <c r="CK96" t="e">
        <f>AND(#REF!,"AAAAAH7rTlg=")</f>
        <v>#REF!</v>
      </c>
      <c r="CL96" t="e">
        <f>AND(#REF!,"AAAAAH7rTlk=")</f>
        <v>#REF!</v>
      </c>
      <c r="CM96" t="e">
        <f>AND(#REF!,"AAAAAH7rTlo=")</f>
        <v>#REF!</v>
      </c>
      <c r="CN96" t="e">
        <f>AND(#REF!,"AAAAAH7rTls=")</f>
        <v>#REF!</v>
      </c>
      <c r="CO96" t="e">
        <f>AND(#REF!,"AAAAAH7rTlw=")</f>
        <v>#REF!</v>
      </c>
      <c r="CP96" t="e">
        <f>IF(#REF!,"AAAAAH7rTl0=",0)</f>
        <v>#REF!</v>
      </c>
      <c r="CQ96" t="e">
        <f>AND(#REF!,"AAAAAH7rTl4=")</f>
        <v>#REF!</v>
      </c>
      <c r="CR96" t="e">
        <f>AND(#REF!,"AAAAAH7rTl8=")</f>
        <v>#REF!</v>
      </c>
      <c r="CS96" t="e">
        <f>AND(#REF!,"AAAAAH7rTmA=")</f>
        <v>#REF!</v>
      </c>
      <c r="CT96" t="e">
        <f>AND(#REF!,"AAAAAH7rTmE=")</f>
        <v>#REF!</v>
      </c>
      <c r="CU96" t="e">
        <f>AND(#REF!,"AAAAAH7rTmI=")</f>
        <v>#REF!</v>
      </c>
      <c r="CV96" t="e">
        <f>AND(#REF!,"AAAAAH7rTmM=")</f>
        <v>#REF!</v>
      </c>
      <c r="CW96" t="e">
        <f>IF(#REF!,"AAAAAH7rTmQ=",0)</f>
        <v>#REF!</v>
      </c>
      <c r="CX96" t="e">
        <f>AND(#REF!,"AAAAAH7rTmU=")</f>
        <v>#REF!</v>
      </c>
      <c r="CY96" t="e">
        <f>AND(#REF!,"AAAAAH7rTmY=")</f>
        <v>#REF!</v>
      </c>
      <c r="CZ96" t="e">
        <f>AND(#REF!,"AAAAAH7rTmc=")</f>
        <v>#REF!</v>
      </c>
      <c r="DA96" t="e">
        <f>AND(#REF!,"AAAAAH7rTmg=")</f>
        <v>#REF!</v>
      </c>
      <c r="DB96" t="e">
        <f>AND(#REF!,"AAAAAH7rTmk=")</f>
        <v>#REF!</v>
      </c>
      <c r="DC96" t="e">
        <f>AND(#REF!,"AAAAAH7rTmo=")</f>
        <v>#REF!</v>
      </c>
      <c r="DD96" t="e">
        <f>IF(#REF!,"AAAAAH7rTms=",0)</f>
        <v>#REF!</v>
      </c>
      <c r="DE96" t="e">
        <f>AND(#REF!,"AAAAAH7rTmw=")</f>
        <v>#REF!</v>
      </c>
      <c r="DF96" t="e">
        <f>AND(#REF!,"AAAAAH7rTm0=")</f>
        <v>#REF!</v>
      </c>
      <c r="DG96" t="e">
        <f>AND(#REF!,"AAAAAH7rTm4=")</f>
        <v>#REF!</v>
      </c>
      <c r="DH96" t="e">
        <f>AND(#REF!,"AAAAAH7rTm8=")</f>
        <v>#REF!</v>
      </c>
      <c r="DI96" t="e">
        <f>AND(#REF!,"AAAAAH7rTnA=")</f>
        <v>#REF!</v>
      </c>
      <c r="DJ96" t="e">
        <f>AND(#REF!,"AAAAAH7rTnE=")</f>
        <v>#REF!</v>
      </c>
      <c r="DK96" t="e">
        <f>IF(#REF!,"AAAAAH7rTnI=",0)</f>
        <v>#REF!</v>
      </c>
      <c r="DL96" t="e">
        <f>AND(#REF!,"AAAAAH7rTnM=")</f>
        <v>#REF!</v>
      </c>
      <c r="DM96" t="e">
        <f>AND(#REF!,"AAAAAH7rTnQ=")</f>
        <v>#REF!</v>
      </c>
      <c r="DN96" t="e">
        <f>AND(#REF!,"AAAAAH7rTnU=")</f>
        <v>#REF!</v>
      </c>
      <c r="DO96" t="e">
        <f>AND(#REF!,"AAAAAH7rTnY=")</f>
        <v>#REF!</v>
      </c>
      <c r="DP96" t="e">
        <f>AND(#REF!,"AAAAAH7rTnc=")</f>
        <v>#REF!</v>
      </c>
      <c r="DQ96" t="e">
        <f>AND(#REF!,"AAAAAH7rTng=")</f>
        <v>#REF!</v>
      </c>
      <c r="DR96" t="e">
        <f>IF(#REF!,"AAAAAH7rTnk=",0)</f>
        <v>#REF!</v>
      </c>
      <c r="DS96" t="e">
        <f>AND(#REF!,"AAAAAH7rTno=")</f>
        <v>#REF!</v>
      </c>
      <c r="DT96" t="e">
        <f>AND(#REF!,"AAAAAH7rTns=")</f>
        <v>#REF!</v>
      </c>
      <c r="DU96" t="e">
        <f>AND(#REF!,"AAAAAH7rTnw=")</f>
        <v>#REF!</v>
      </c>
      <c r="DV96" t="e">
        <f>AND(#REF!,"AAAAAH7rTn0=")</f>
        <v>#REF!</v>
      </c>
      <c r="DW96" t="e">
        <f>AND(#REF!,"AAAAAH7rTn4=")</f>
        <v>#REF!</v>
      </c>
      <c r="DX96" t="e">
        <f>AND(#REF!,"AAAAAH7rTn8=")</f>
        <v>#REF!</v>
      </c>
      <c r="DY96" t="e">
        <f>IF(#REF!,"AAAAAH7rToA=",0)</f>
        <v>#REF!</v>
      </c>
      <c r="DZ96" t="e">
        <f>AND(#REF!,"AAAAAH7rToE=")</f>
        <v>#REF!</v>
      </c>
      <c r="EA96" t="e">
        <f>AND(#REF!,"AAAAAH7rToI=")</f>
        <v>#REF!</v>
      </c>
      <c r="EB96" t="e">
        <f>AND(#REF!,"AAAAAH7rToM=")</f>
        <v>#REF!</v>
      </c>
      <c r="EC96" t="e">
        <f>AND(#REF!,"AAAAAH7rToQ=")</f>
        <v>#REF!</v>
      </c>
      <c r="ED96" t="e">
        <f>AND(#REF!,"AAAAAH7rToU=")</f>
        <v>#REF!</v>
      </c>
      <c r="EE96" t="e">
        <f>AND(#REF!,"AAAAAH7rToY=")</f>
        <v>#REF!</v>
      </c>
      <c r="EF96" t="e">
        <f>IF(#REF!,"AAAAAH7rToc=",0)</f>
        <v>#REF!</v>
      </c>
      <c r="EG96" t="e">
        <f>AND(#REF!,"AAAAAH7rTog=")</f>
        <v>#REF!</v>
      </c>
      <c r="EH96" t="e">
        <f>AND(#REF!,"AAAAAH7rTok=")</f>
        <v>#REF!</v>
      </c>
      <c r="EI96" t="e">
        <f>AND(#REF!,"AAAAAH7rToo=")</f>
        <v>#REF!</v>
      </c>
      <c r="EJ96" t="e">
        <f>AND(#REF!,"AAAAAH7rTos=")</f>
        <v>#REF!</v>
      </c>
      <c r="EK96" t="e">
        <f>AND(#REF!,"AAAAAH7rTow=")</f>
        <v>#REF!</v>
      </c>
      <c r="EL96" t="e">
        <f>AND(#REF!,"AAAAAH7rTo0=")</f>
        <v>#REF!</v>
      </c>
      <c r="EM96" t="e">
        <f>IF(#REF!,"AAAAAH7rTo4=",0)</f>
        <v>#REF!</v>
      </c>
      <c r="EN96" t="e">
        <f>AND(#REF!,"AAAAAH7rTo8=")</f>
        <v>#REF!</v>
      </c>
      <c r="EO96" t="e">
        <f>AND(#REF!,"AAAAAH7rTpA=")</f>
        <v>#REF!</v>
      </c>
      <c r="EP96" t="e">
        <f>AND(#REF!,"AAAAAH7rTpE=")</f>
        <v>#REF!</v>
      </c>
      <c r="EQ96" t="e">
        <f>AND(#REF!,"AAAAAH7rTpI=")</f>
        <v>#REF!</v>
      </c>
      <c r="ER96" t="e">
        <f>AND(#REF!,"AAAAAH7rTpM=")</f>
        <v>#REF!</v>
      </c>
      <c r="ES96" t="e">
        <f>AND(#REF!,"AAAAAH7rTpQ=")</f>
        <v>#REF!</v>
      </c>
      <c r="ET96" t="e">
        <f>IF(#REF!,"AAAAAH7rTpU=",0)</f>
        <v>#REF!</v>
      </c>
      <c r="EU96" t="e">
        <f>AND(#REF!,"AAAAAH7rTpY=")</f>
        <v>#REF!</v>
      </c>
      <c r="EV96" t="e">
        <f>AND(#REF!,"AAAAAH7rTpc=")</f>
        <v>#REF!</v>
      </c>
      <c r="EW96" t="e">
        <f>AND(#REF!,"AAAAAH7rTpg=")</f>
        <v>#REF!</v>
      </c>
      <c r="EX96" t="e">
        <f>AND(#REF!,"AAAAAH7rTpk=")</f>
        <v>#REF!</v>
      </c>
      <c r="EY96" t="e">
        <f>AND(#REF!,"AAAAAH7rTpo=")</f>
        <v>#REF!</v>
      </c>
      <c r="EZ96" t="e">
        <f>AND(#REF!,"AAAAAH7rTps=")</f>
        <v>#REF!</v>
      </c>
      <c r="FA96" t="e">
        <f>IF(#REF!,"AAAAAH7rTpw=",0)</f>
        <v>#REF!</v>
      </c>
      <c r="FB96" t="e">
        <f>AND(#REF!,"AAAAAH7rTp0=")</f>
        <v>#REF!</v>
      </c>
      <c r="FC96" t="e">
        <f>AND(#REF!,"AAAAAH7rTp4=")</f>
        <v>#REF!</v>
      </c>
      <c r="FD96" t="e">
        <f>AND(#REF!,"AAAAAH7rTp8=")</f>
        <v>#REF!</v>
      </c>
      <c r="FE96" t="e">
        <f>AND(#REF!,"AAAAAH7rTqA=")</f>
        <v>#REF!</v>
      </c>
      <c r="FF96" t="e">
        <f>AND(#REF!,"AAAAAH7rTqE=")</f>
        <v>#REF!</v>
      </c>
      <c r="FG96" t="e">
        <f>AND(#REF!,"AAAAAH7rTqI=")</f>
        <v>#REF!</v>
      </c>
      <c r="FH96" t="e">
        <f>IF(#REF!,"AAAAAH7rTqM=",0)</f>
        <v>#REF!</v>
      </c>
      <c r="FI96" t="e">
        <f>AND(#REF!,"AAAAAH7rTqQ=")</f>
        <v>#REF!</v>
      </c>
      <c r="FJ96" t="e">
        <f>AND(#REF!,"AAAAAH7rTqU=")</f>
        <v>#REF!</v>
      </c>
      <c r="FK96" t="e">
        <f>AND(#REF!,"AAAAAH7rTqY=")</f>
        <v>#REF!</v>
      </c>
      <c r="FL96" t="e">
        <f>AND(#REF!,"AAAAAH7rTqc=")</f>
        <v>#REF!</v>
      </c>
      <c r="FM96" t="e">
        <f>AND(#REF!,"AAAAAH7rTqg=")</f>
        <v>#REF!</v>
      </c>
      <c r="FN96" t="e">
        <f>AND(#REF!,"AAAAAH7rTqk=")</f>
        <v>#REF!</v>
      </c>
      <c r="FO96" t="e">
        <f>IF(#REF!,"AAAAAH7rTqo=",0)</f>
        <v>#REF!</v>
      </c>
      <c r="FP96" t="e">
        <f>AND(#REF!,"AAAAAH7rTqs=")</f>
        <v>#REF!</v>
      </c>
      <c r="FQ96" t="e">
        <f>AND(#REF!,"AAAAAH7rTqw=")</f>
        <v>#REF!</v>
      </c>
      <c r="FR96" t="e">
        <f>AND(#REF!,"AAAAAH7rTq0=")</f>
        <v>#REF!</v>
      </c>
      <c r="FS96" t="e">
        <f>AND(#REF!,"AAAAAH7rTq4=")</f>
        <v>#REF!</v>
      </c>
      <c r="FT96" t="e">
        <f>AND(#REF!,"AAAAAH7rTq8=")</f>
        <v>#REF!</v>
      </c>
      <c r="FU96" t="e">
        <f>AND(#REF!,"AAAAAH7rTrA=")</f>
        <v>#REF!</v>
      </c>
      <c r="FV96" t="e">
        <f>IF(#REF!,"AAAAAH7rTrE=",0)</f>
        <v>#REF!</v>
      </c>
      <c r="FW96" t="e">
        <f>AND(#REF!,"AAAAAH7rTrI=")</f>
        <v>#REF!</v>
      </c>
      <c r="FX96" t="e">
        <f>AND(#REF!,"AAAAAH7rTrM=")</f>
        <v>#REF!</v>
      </c>
      <c r="FY96" t="e">
        <f>AND(#REF!,"AAAAAH7rTrQ=")</f>
        <v>#REF!</v>
      </c>
      <c r="FZ96" t="e">
        <f>AND(#REF!,"AAAAAH7rTrU=")</f>
        <v>#REF!</v>
      </c>
      <c r="GA96" t="e">
        <f>AND(#REF!,"AAAAAH7rTrY=")</f>
        <v>#REF!</v>
      </c>
      <c r="GB96" t="e">
        <f>AND(#REF!,"AAAAAH7rTrc=")</f>
        <v>#REF!</v>
      </c>
      <c r="GC96" t="e">
        <f>IF(#REF!,"AAAAAH7rTrg=",0)</f>
        <v>#REF!</v>
      </c>
      <c r="GD96" t="e">
        <f>AND(#REF!,"AAAAAH7rTrk=")</f>
        <v>#REF!</v>
      </c>
      <c r="GE96" t="e">
        <f>AND(#REF!,"AAAAAH7rTro=")</f>
        <v>#REF!</v>
      </c>
      <c r="GF96" t="e">
        <f>AND(#REF!,"AAAAAH7rTrs=")</f>
        <v>#REF!</v>
      </c>
      <c r="GG96" t="e">
        <f>AND(#REF!,"AAAAAH7rTrw=")</f>
        <v>#REF!</v>
      </c>
      <c r="GH96" t="e">
        <f>AND(#REF!,"AAAAAH7rTr0=")</f>
        <v>#REF!</v>
      </c>
      <c r="GI96" t="e">
        <f>AND(#REF!,"AAAAAH7rTr4=")</f>
        <v>#REF!</v>
      </c>
      <c r="GJ96" t="e">
        <f>IF(#REF!,"AAAAAH7rTr8=",0)</f>
        <v>#REF!</v>
      </c>
      <c r="GK96" t="e">
        <f>AND(#REF!,"AAAAAH7rTsA=")</f>
        <v>#REF!</v>
      </c>
      <c r="GL96" t="e">
        <f>AND(#REF!,"AAAAAH7rTsE=")</f>
        <v>#REF!</v>
      </c>
      <c r="GM96" t="e">
        <f>AND(#REF!,"AAAAAH7rTsI=")</f>
        <v>#REF!</v>
      </c>
      <c r="GN96" t="e">
        <f>AND(#REF!,"AAAAAH7rTsM=")</f>
        <v>#REF!</v>
      </c>
      <c r="GO96" t="e">
        <f>AND(#REF!,"AAAAAH7rTsQ=")</f>
        <v>#REF!</v>
      </c>
      <c r="GP96" t="e">
        <f>AND(#REF!,"AAAAAH7rTsU=")</f>
        <v>#REF!</v>
      </c>
      <c r="GQ96" t="e">
        <f>IF(#REF!,"AAAAAH7rTsY=",0)</f>
        <v>#REF!</v>
      </c>
      <c r="GR96" t="e">
        <f>AND(#REF!,"AAAAAH7rTsc=")</f>
        <v>#REF!</v>
      </c>
      <c r="GS96" t="e">
        <f>AND(#REF!,"AAAAAH7rTsg=")</f>
        <v>#REF!</v>
      </c>
      <c r="GT96" t="e">
        <f>AND(#REF!,"AAAAAH7rTsk=")</f>
        <v>#REF!</v>
      </c>
      <c r="GU96" t="e">
        <f>AND(#REF!,"AAAAAH7rTso=")</f>
        <v>#REF!</v>
      </c>
      <c r="GV96" t="e">
        <f>AND(#REF!,"AAAAAH7rTss=")</f>
        <v>#REF!</v>
      </c>
      <c r="GW96" t="e">
        <f>AND(#REF!,"AAAAAH7rTsw=")</f>
        <v>#REF!</v>
      </c>
      <c r="GX96" t="e">
        <f>IF(#REF!,"AAAAAH7rTs0=",0)</f>
        <v>#REF!</v>
      </c>
      <c r="GY96" t="e">
        <f>AND(#REF!,"AAAAAH7rTs4=")</f>
        <v>#REF!</v>
      </c>
      <c r="GZ96" t="e">
        <f>AND(#REF!,"AAAAAH7rTs8=")</f>
        <v>#REF!</v>
      </c>
      <c r="HA96" t="e">
        <f>AND(#REF!,"AAAAAH7rTtA=")</f>
        <v>#REF!</v>
      </c>
      <c r="HB96" t="e">
        <f>AND(#REF!,"AAAAAH7rTtE=")</f>
        <v>#REF!</v>
      </c>
      <c r="HC96" t="e">
        <f>AND(#REF!,"AAAAAH7rTtI=")</f>
        <v>#REF!</v>
      </c>
      <c r="HD96" t="e">
        <f>AND(#REF!,"AAAAAH7rTtM=")</f>
        <v>#REF!</v>
      </c>
      <c r="HE96" t="e">
        <f>IF(#REF!,"AAAAAH7rTtQ=",0)</f>
        <v>#REF!</v>
      </c>
      <c r="HF96" t="e">
        <f>AND(#REF!,"AAAAAH7rTtU=")</f>
        <v>#REF!</v>
      </c>
      <c r="HG96" t="e">
        <f>AND(#REF!,"AAAAAH7rTtY=")</f>
        <v>#REF!</v>
      </c>
      <c r="HH96" t="e">
        <f>AND(#REF!,"AAAAAH7rTtc=")</f>
        <v>#REF!</v>
      </c>
      <c r="HI96" t="e">
        <f>AND(#REF!,"AAAAAH7rTtg=")</f>
        <v>#REF!</v>
      </c>
      <c r="HJ96" t="e">
        <f>AND(#REF!,"AAAAAH7rTtk=")</f>
        <v>#REF!</v>
      </c>
      <c r="HK96" t="e">
        <f>AND(#REF!,"AAAAAH7rTto=")</f>
        <v>#REF!</v>
      </c>
      <c r="HL96" t="e">
        <f>IF(#REF!,"AAAAAH7rTts=",0)</f>
        <v>#REF!</v>
      </c>
      <c r="HM96" t="e">
        <f>AND(#REF!,"AAAAAH7rTtw=")</f>
        <v>#REF!</v>
      </c>
      <c r="HN96" t="e">
        <f>AND(#REF!,"AAAAAH7rTt0=")</f>
        <v>#REF!</v>
      </c>
      <c r="HO96" t="e">
        <f>AND(#REF!,"AAAAAH7rTt4=")</f>
        <v>#REF!</v>
      </c>
      <c r="HP96" t="e">
        <f>AND(#REF!,"AAAAAH7rTt8=")</f>
        <v>#REF!</v>
      </c>
      <c r="HQ96" t="e">
        <f>AND(#REF!,"AAAAAH7rTuA=")</f>
        <v>#REF!</v>
      </c>
      <c r="HR96" t="e">
        <f>AND(#REF!,"AAAAAH7rTuE=")</f>
        <v>#REF!</v>
      </c>
      <c r="HS96" t="e">
        <f>IF(#REF!,"AAAAAH7rTuI=",0)</f>
        <v>#REF!</v>
      </c>
      <c r="HT96" t="e">
        <f>AND(#REF!,"AAAAAH7rTuM=")</f>
        <v>#REF!</v>
      </c>
      <c r="HU96" t="e">
        <f>AND(#REF!,"AAAAAH7rTuQ=")</f>
        <v>#REF!</v>
      </c>
      <c r="HV96" t="e">
        <f>AND(#REF!,"AAAAAH7rTuU=")</f>
        <v>#REF!</v>
      </c>
      <c r="HW96" t="e">
        <f>AND(#REF!,"AAAAAH7rTuY=")</f>
        <v>#REF!</v>
      </c>
      <c r="HX96" t="e">
        <f>AND(#REF!,"AAAAAH7rTuc=")</f>
        <v>#REF!</v>
      </c>
      <c r="HY96" t="e">
        <f>AND(#REF!,"AAAAAH7rTug=")</f>
        <v>#REF!</v>
      </c>
      <c r="HZ96" t="e">
        <f>IF(#REF!,"AAAAAH7rTuk=",0)</f>
        <v>#REF!</v>
      </c>
      <c r="IA96" t="e">
        <f>AND(#REF!,"AAAAAH7rTuo=")</f>
        <v>#REF!</v>
      </c>
      <c r="IB96" t="e">
        <f>AND(#REF!,"AAAAAH7rTus=")</f>
        <v>#REF!</v>
      </c>
      <c r="IC96" t="e">
        <f>AND(#REF!,"AAAAAH7rTuw=")</f>
        <v>#REF!</v>
      </c>
      <c r="ID96" t="e">
        <f>AND(#REF!,"AAAAAH7rTu0=")</f>
        <v>#REF!</v>
      </c>
      <c r="IE96" t="e">
        <f>AND(#REF!,"AAAAAH7rTu4=")</f>
        <v>#REF!</v>
      </c>
      <c r="IF96" t="e">
        <f>AND(#REF!,"AAAAAH7rTu8=")</f>
        <v>#REF!</v>
      </c>
      <c r="IG96" t="e">
        <f>IF(#REF!,"AAAAAH7rTvA=",0)</f>
        <v>#REF!</v>
      </c>
      <c r="IH96" t="e">
        <f>AND(#REF!,"AAAAAH7rTvE=")</f>
        <v>#REF!</v>
      </c>
      <c r="II96" t="e">
        <f>AND(#REF!,"AAAAAH7rTvI=")</f>
        <v>#REF!</v>
      </c>
      <c r="IJ96" t="e">
        <f>AND(#REF!,"AAAAAH7rTvM=")</f>
        <v>#REF!</v>
      </c>
      <c r="IK96" t="e">
        <f>AND(#REF!,"AAAAAH7rTvQ=")</f>
        <v>#REF!</v>
      </c>
      <c r="IL96" t="e">
        <f>AND(#REF!,"AAAAAH7rTvU=")</f>
        <v>#REF!</v>
      </c>
      <c r="IM96" t="e">
        <f>AND(#REF!,"AAAAAH7rTvY=")</f>
        <v>#REF!</v>
      </c>
      <c r="IN96" t="e">
        <f>IF(#REF!,"AAAAAH7rTvc=",0)</f>
        <v>#REF!</v>
      </c>
      <c r="IO96" t="e">
        <f>AND(#REF!,"AAAAAH7rTvg=")</f>
        <v>#REF!</v>
      </c>
      <c r="IP96" t="e">
        <f>AND(#REF!,"AAAAAH7rTvk=")</f>
        <v>#REF!</v>
      </c>
      <c r="IQ96" t="e">
        <f>AND(#REF!,"AAAAAH7rTvo=")</f>
        <v>#REF!</v>
      </c>
      <c r="IR96" t="e">
        <f>AND(#REF!,"AAAAAH7rTvs=")</f>
        <v>#REF!</v>
      </c>
      <c r="IS96" t="e">
        <f>AND(#REF!,"AAAAAH7rTvw=")</f>
        <v>#REF!</v>
      </c>
      <c r="IT96" t="e">
        <f>AND(#REF!,"AAAAAH7rTv0=")</f>
        <v>#REF!</v>
      </c>
      <c r="IU96" t="e">
        <f>IF(#REF!,"AAAAAH7rTv4=",0)</f>
        <v>#REF!</v>
      </c>
      <c r="IV96" t="e">
        <f>AND(#REF!,"AAAAAH7rTv8=")</f>
        <v>#REF!</v>
      </c>
    </row>
    <row r="97" spans="1:256" x14ac:dyDescent="0.15">
      <c r="A97" t="e">
        <f>AND(#REF!,"AAAAAHu0+wA=")</f>
        <v>#REF!</v>
      </c>
      <c r="B97" t="e">
        <f>AND(#REF!,"AAAAAHu0+wE=")</f>
        <v>#REF!</v>
      </c>
      <c r="C97" t="e">
        <f>AND(#REF!,"AAAAAHu0+wI=")</f>
        <v>#REF!</v>
      </c>
      <c r="D97" t="e">
        <f>AND(#REF!,"AAAAAHu0+wM=")</f>
        <v>#REF!</v>
      </c>
      <c r="E97" t="e">
        <f>AND(#REF!,"AAAAAHu0+wQ=")</f>
        <v>#REF!</v>
      </c>
      <c r="F97" t="e">
        <f>IF(#REF!,"AAAAAHu0+wU=",0)</f>
        <v>#REF!</v>
      </c>
      <c r="G97" t="e">
        <f>AND(#REF!,"AAAAAHu0+wY=")</f>
        <v>#REF!</v>
      </c>
      <c r="H97" t="e">
        <f>AND(#REF!,"AAAAAHu0+wc=")</f>
        <v>#REF!</v>
      </c>
      <c r="I97" t="e">
        <f>AND(#REF!,"AAAAAHu0+wg=")</f>
        <v>#REF!</v>
      </c>
      <c r="J97" t="e">
        <f>AND(#REF!,"AAAAAHu0+wk=")</f>
        <v>#REF!</v>
      </c>
      <c r="K97" t="e">
        <f>AND(#REF!,"AAAAAHu0+wo=")</f>
        <v>#REF!</v>
      </c>
      <c r="L97" t="e">
        <f>AND(#REF!,"AAAAAHu0+ws=")</f>
        <v>#REF!</v>
      </c>
      <c r="M97" t="e">
        <f>IF(#REF!,"AAAAAHu0+ww=",0)</f>
        <v>#REF!</v>
      </c>
      <c r="N97" t="e">
        <f>AND(#REF!,"AAAAAHu0+w0=")</f>
        <v>#REF!</v>
      </c>
      <c r="O97" t="e">
        <f>AND(#REF!,"AAAAAHu0+w4=")</f>
        <v>#REF!</v>
      </c>
      <c r="P97" t="e">
        <f>AND(#REF!,"AAAAAHu0+w8=")</f>
        <v>#REF!</v>
      </c>
      <c r="Q97" t="e">
        <f>AND(#REF!,"AAAAAHu0+xA=")</f>
        <v>#REF!</v>
      </c>
      <c r="R97" t="e">
        <f>AND(#REF!,"AAAAAHu0+xE=")</f>
        <v>#REF!</v>
      </c>
      <c r="S97" t="e">
        <f>AND(#REF!,"AAAAAHu0+xI=")</f>
        <v>#REF!</v>
      </c>
      <c r="T97" t="e">
        <f>IF(#REF!,"AAAAAHu0+xM=",0)</f>
        <v>#REF!</v>
      </c>
      <c r="U97" t="e">
        <f>AND(#REF!,"AAAAAHu0+xQ=")</f>
        <v>#REF!</v>
      </c>
      <c r="V97" t="e">
        <f>AND(#REF!,"AAAAAHu0+xU=")</f>
        <v>#REF!</v>
      </c>
      <c r="W97" t="e">
        <f>AND(#REF!,"AAAAAHu0+xY=")</f>
        <v>#REF!</v>
      </c>
      <c r="X97" t="e">
        <f>AND(#REF!,"AAAAAHu0+xc=")</f>
        <v>#REF!</v>
      </c>
      <c r="Y97" t="e">
        <f>AND(#REF!,"AAAAAHu0+xg=")</f>
        <v>#REF!</v>
      </c>
      <c r="Z97" t="e">
        <f>AND(#REF!,"AAAAAHu0+xk=")</f>
        <v>#REF!</v>
      </c>
      <c r="AA97" t="e">
        <f>IF(#REF!,"AAAAAHu0+xo=",0)</f>
        <v>#REF!</v>
      </c>
      <c r="AB97" t="e">
        <f>AND(#REF!,"AAAAAHu0+xs=")</f>
        <v>#REF!</v>
      </c>
      <c r="AC97" t="e">
        <f>AND(#REF!,"AAAAAHu0+xw=")</f>
        <v>#REF!</v>
      </c>
      <c r="AD97" t="e">
        <f>AND(#REF!,"AAAAAHu0+x0=")</f>
        <v>#REF!</v>
      </c>
      <c r="AE97" t="e">
        <f>AND(#REF!,"AAAAAHu0+x4=")</f>
        <v>#REF!</v>
      </c>
      <c r="AF97" t="e">
        <f>AND(#REF!,"AAAAAHu0+x8=")</f>
        <v>#REF!</v>
      </c>
      <c r="AG97" t="e">
        <f>AND(#REF!,"AAAAAHu0+yA=")</f>
        <v>#REF!</v>
      </c>
      <c r="AH97" t="e">
        <f>IF(#REF!,"AAAAAHu0+yE=",0)</f>
        <v>#REF!</v>
      </c>
      <c r="AI97" t="e">
        <f>AND(#REF!,"AAAAAHu0+yI=")</f>
        <v>#REF!</v>
      </c>
      <c r="AJ97" t="e">
        <f>AND(#REF!,"AAAAAHu0+yM=")</f>
        <v>#REF!</v>
      </c>
      <c r="AK97" t="e">
        <f>AND(#REF!,"AAAAAHu0+yQ=")</f>
        <v>#REF!</v>
      </c>
      <c r="AL97" t="e">
        <f>AND(#REF!,"AAAAAHu0+yU=")</f>
        <v>#REF!</v>
      </c>
      <c r="AM97" t="e">
        <f>AND(#REF!,"AAAAAHu0+yY=")</f>
        <v>#REF!</v>
      </c>
      <c r="AN97" t="e">
        <f>AND(#REF!,"AAAAAHu0+yc=")</f>
        <v>#REF!</v>
      </c>
      <c r="AO97" t="e">
        <f>IF(#REF!,"AAAAAHu0+yg=",0)</f>
        <v>#REF!</v>
      </c>
      <c r="AP97" t="e">
        <f>AND(#REF!,"AAAAAHu0+yk=")</f>
        <v>#REF!</v>
      </c>
      <c r="AQ97" t="e">
        <f>AND(#REF!,"AAAAAHu0+yo=")</f>
        <v>#REF!</v>
      </c>
      <c r="AR97" t="e">
        <f>AND(#REF!,"AAAAAHu0+ys=")</f>
        <v>#REF!</v>
      </c>
      <c r="AS97" t="e">
        <f>AND(#REF!,"AAAAAHu0+yw=")</f>
        <v>#REF!</v>
      </c>
      <c r="AT97" t="e">
        <f>AND(#REF!,"AAAAAHu0+y0=")</f>
        <v>#REF!</v>
      </c>
      <c r="AU97" t="e">
        <f>AND(#REF!,"AAAAAHu0+y4=")</f>
        <v>#REF!</v>
      </c>
      <c r="AV97" t="e">
        <f>IF(#REF!,"AAAAAHu0+y8=",0)</f>
        <v>#REF!</v>
      </c>
      <c r="AW97" t="e">
        <f>AND(#REF!,"AAAAAHu0+zA=")</f>
        <v>#REF!</v>
      </c>
      <c r="AX97" t="e">
        <f>AND(#REF!,"AAAAAHu0+zE=")</f>
        <v>#REF!</v>
      </c>
      <c r="AY97" t="e">
        <f>AND(#REF!,"AAAAAHu0+zI=")</f>
        <v>#REF!</v>
      </c>
      <c r="AZ97" t="e">
        <f>AND(#REF!,"AAAAAHu0+zM=")</f>
        <v>#REF!</v>
      </c>
      <c r="BA97" t="e">
        <f>AND(#REF!,"AAAAAHu0+zQ=")</f>
        <v>#REF!</v>
      </c>
      <c r="BB97" t="e">
        <f>AND(#REF!,"AAAAAHu0+zU=")</f>
        <v>#REF!</v>
      </c>
      <c r="BC97" t="e">
        <f>IF(#REF!,"AAAAAHu0+zY=",0)</f>
        <v>#REF!</v>
      </c>
      <c r="BD97" t="e">
        <f>AND(#REF!,"AAAAAHu0+zc=")</f>
        <v>#REF!</v>
      </c>
      <c r="BE97" t="e">
        <f>AND(#REF!,"AAAAAHu0+zg=")</f>
        <v>#REF!</v>
      </c>
      <c r="BF97" t="e">
        <f>AND(#REF!,"AAAAAHu0+zk=")</f>
        <v>#REF!</v>
      </c>
      <c r="BG97" t="e">
        <f>AND(#REF!,"AAAAAHu0+zo=")</f>
        <v>#REF!</v>
      </c>
      <c r="BH97" t="e">
        <f>AND(#REF!,"AAAAAHu0+zs=")</f>
        <v>#REF!</v>
      </c>
      <c r="BI97" t="e">
        <f>AND(#REF!,"AAAAAHu0+zw=")</f>
        <v>#REF!</v>
      </c>
      <c r="BJ97" t="e">
        <f>IF(#REF!,"AAAAAHu0+z0=",0)</f>
        <v>#REF!</v>
      </c>
      <c r="BK97" t="e">
        <f>AND(#REF!,"AAAAAHu0+z4=")</f>
        <v>#REF!</v>
      </c>
      <c r="BL97" t="e">
        <f>AND(#REF!,"AAAAAHu0+z8=")</f>
        <v>#REF!</v>
      </c>
      <c r="BM97" t="e">
        <f>AND(#REF!,"AAAAAHu0+0A=")</f>
        <v>#REF!</v>
      </c>
      <c r="BN97" t="e">
        <f>AND(#REF!,"AAAAAHu0+0E=")</f>
        <v>#REF!</v>
      </c>
      <c r="BO97" t="e">
        <f>AND(#REF!,"AAAAAHu0+0I=")</f>
        <v>#REF!</v>
      </c>
      <c r="BP97" t="e">
        <f>AND(#REF!,"AAAAAHu0+0M=")</f>
        <v>#REF!</v>
      </c>
      <c r="BQ97" t="e">
        <f>IF(#REF!,"AAAAAHu0+0Q=",0)</f>
        <v>#REF!</v>
      </c>
      <c r="BR97" t="e">
        <f>AND(#REF!,"AAAAAHu0+0U=")</f>
        <v>#REF!</v>
      </c>
      <c r="BS97" t="e">
        <f>AND(#REF!,"AAAAAHu0+0Y=")</f>
        <v>#REF!</v>
      </c>
      <c r="BT97" t="e">
        <f>AND(#REF!,"AAAAAHu0+0c=")</f>
        <v>#REF!</v>
      </c>
      <c r="BU97" t="e">
        <f>AND(#REF!,"AAAAAHu0+0g=")</f>
        <v>#REF!</v>
      </c>
      <c r="BV97" t="e">
        <f>AND(#REF!,"AAAAAHu0+0k=")</f>
        <v>#REF!</v>
      </c>
      <c r="BW97" t="e">
        <f>AND(#REF!,"AAAAAHu0+0o=")</f>
        <v>#REF!</v>
      </c>
      <c r="BX97" t="e">
        <f>IF(#REF!,"AAAAAHu0+0s=",0)</f>
        <v>#REF!</v>
      </c>
      <c r="BY97" t="e">
        <f>AND(#REF!,"AAAAAHu0+0w=")</f>
        <v>#REF!</v>
      </c>
      <c r="BZ97" t="e">
        <f>AND(#REF!,"AAAAAHu0+00=")</f>
        <v>#REF!</v>
      </c>
      <c r="CA97" t="e">
        <f>AND(#REF!,"AAAAAHu0+04=")</f>
        <v>#REF!</v>
      </c>
      <c r="CB97" t="e">
        <f>AND(#REF!,"AAAAAHu0+08=")</f>
        <v>#REF!</v>
      </c>
      <c r="CC97" t="e">
        <f>AND(#REF!,"AAAAAHu0+1A=")</f>
        <v>#REF!</v>
      </c>
      <c r="CD97" t="e">
        <f>AND(#REF!,"AAAAAHu0+1E=")</f>
        <v>#REF!</v>
      </c>
      <c r="CE97" t="e">
        <f>IF(#REF!,"AAAAAHu0+1I=",0)</f>
        <v>#REF!</v>
      </c>
      <c r="CF97" t="e">
        <f>AND(#REF!,"AAAAAHu0+1M=")</f>
        <v>#REF!</v>
      </c>
      <c r="CG97" t="e">
        <f>AND(#REF!,"AAAAAHu0+1Q=")</f>
        <v>#REF!</v>
      </c>
      <c r="CH97" t="e">
        <f>AND(#REF!,"AAAAAHu0+1U=")</f>
        <v>#REF!</v>
      </c>
      <c r="CI97" t="e">
        <f>AND(#REF!,"AAAAAHu0+1Y=")</f>
        <v>#REF!</v>
      </c>
      <c r="CJ97" t="e">
        <f>AND(#REF!,"AAAAAHu0+1c=")</f>
        <v>#REF!</v>
      </c>
      <c r="CK97" t="e">
        <f>AND(#REF!,"AAAAAHu0+1g=")</f>
        <v>#REF!</v>
      </c>
      <c r="CL97" t="e">
        <f>IF(#REF!,"AAAAAHu0+1k=",0)</f>
        <v>#REF!</v>
      </c>
      <c r="CM97" t="e">
        <f>AND(#REF!,"AAAAAHu0+1o=")</f>
        <v>#REF!</v>
      </c>
      <c r="CN97" t="e">
        <f>AND(#REF!,"AAAAAHu0+1s=")</f>
        <v>#REF!</v>
      </c>
      <c r="CO97" t="e">
        <f>AND(#REF!,"AAAAAHu0+1w=")</f>
        <v>#REF!</v>
      </c>
      <c r="CP97" t="e">
        <f>AND(#REF!,"AAAAAHu0+10=")</f>
        <v>#REF!</v>
      </c>
      <c r="CQ97" t="e">
        <f>AND(#REF!,"AAAAAHu0+14=")</f>
        <v>#REF!</v>
      </c>
      <c r="CR97" t="e">
        <f>AND(#REF!,"AAAAAHu0+18=")</f>
        <v>#REF!</v>
      </c>
      <c r="CS97" t="e">
        <f>IF(#REF!,"AAAAAHu0+2A=",0)</f>
        <v>#REF!</v>
      </c>
      <c r="CT97" t="e">
        <f>AND(#REF!,"AAAAAHu0+2E=")</f>
        <v>#REF!</v>
      </c>
      <c r="CU97" t="e">
        <f>AND(#REF!,"AAAAAHu0+2I=")</f>
        <v>#REF!</v>
      </c>
      <c r="CV97" t="e">
        <f>AND(#REF!,"AAAAAHu0+2M=")</f>
        <v>#REF!</v>
      </c>
      <c r="CW97" t="e">
        <f>AND(#REF!,"AAAAAHu0+2Q=")</f>
        <v>#REF!</v>
      </c>
      <c r="CX97" t="e">
        <f>AND(#REF!,"AAAAAHu0+2U=")</f>
        <v>#REF!</v>
      </c>
      <c r="CY97" t="e">
        <f>AND(#REF!,"AAAAAHu0+2Y=")</f>
        <v>#REF!</v>
      </c>
      <c r="CZ97" t="e">
        <f>IF(#REF!,"AAAAAHu0+2c=",0)</f>
        <v>#REF!</v>
      </c>
      <c r="DA97" t="e">
        <f>AND(#REF!,"AAAAAHu0+2g=")</f>
        <v>#REF!</v>
      </c>
      <c r="DB97" t="e">
        <f>AND(#REF!,"AAAAAHu0+2k=")</f>
        <v>#REF!</v>
      </c>
      <c r="DC97" t="e">
        <f>AND(#REF!,"AAAAAHu0+2o=")</f>
        <v>#REF!</v>
      </c>
      <c r="DD97" t="e">
        <f>AND(#REF!,"AAAAAHu0+2s=")</f>
        <v>#REF!</v>
      </c>
      <c r="DE97" t="e">
        <f>AND(#REF!,"AAAAAHu0+2w=")</f>
        <v>#REF!</v>
      </c>
      <c r="DF97" t="e">
        <f>AND(#REF!,"AAAAAHu0+20=")</f>
        <v>#REF!</v>
      </c>
      <c r="DG97" t="e">
        <f>IF(#REF!,"AAAAAHu0+24=",0)</f>
        <v>#REF!</v>
      </c>
      <c r="DH97" t="e">
        <f>AND(#REF!,"AAAAAHu0+28=")</f>
        <v>#REF!</v>
      </c>
      <c r="DI97" t="e">
        <f>AND(#REF!,"AAAAAHu0+3A=")</f>
        <v>#REF!</v>
      </c>
      <c r="DJ97" t="e">
        <f>AND(#REF!,"AAAAAHu0+3E=")</f>
        <v>#REF!</v>
      </c>
      <c r="DK97" t="e">
        <f>AND(#REF!,"AAAAAHu0+3I=")</f>
        <v>#REF!</v>
      </c>
      <c r="DL97" t="e">
        <f>AND(#REF!,"AAAAAHu0+3M=")</f>
        <v>#REF!</v>
      </c>
      <c r="DM97" t="e">
        <f>AND(#REF!,"AAAAAHu0+3Q=")</f>
        <v>#REF!</v>
      </c>
      <c r="DN97" t="e">
        <f>IF(#REF!,"AAAAAHu0+3U=",0)</f>
        <v>#REF!</v>
      </c>
      <c r="DO97" t="e">
        <f>AND(#REF!,"AAAAAHu0+3Y=")</f>
        <v>#REF!</v>
      </c>
      <c r="DP97" t="e">
        <f>AND(#REF!,"AAAAAHu0+3c=")</f>
        <v>#REF!</v>
      </c>
      <c r="DQ97" t="e">
        <f>AND(#REF!,"AAAAAHu0+3g=")</f>
        <v>#REF!</v>
      </c>
      <c r="DR97" t="e">
        <f>AND(#REF!,"AAAAAHu0+3k=")</f>
        <v>#REF!</v>
      </c>
      <c r="DS97" t="e">
        <f>AND(#REF!,"AAAAAHu0+3o=")</f>
        <v>#REF!</v>
      </c>
      <c r="DT97" t="e">
        <f>AND(#REF!,"AAAAAHu0+3s=")</f>
        <v>#REF!</v>
      </c>
      <c r="DU97" t="e">
        <f>IF(#REF!,"AAAAAHu0+3w=",0)</f>
        <v>#REF!</v>
      </c>
      <c r="DV97" t="e">
        <f>AND(#REF!,"AAAAAHu0+30=")</f>
        <v>#REF!</v>
      </c>
      <c r="DW97" t="e">
        <f>AND(#REF!,"AAAAAHu0+34=")</f>
        <v>#REF!</v>
      </c>
      <c r="DX97" t="e">
        <f>AND(#REF!,"AAAAAHu0+38=")</f>
        <v>#REF!</v>
      </c>
      <c r="DY97" t="e">
        <f>AND(#REF!,"AAAAAHu0+4A=")</f>
        <v>#REF!</v>
      </c>
      <c r="DZ97" t="e">
        <f>AND(#REF!,"AAAAAHu0+4E=")</f>
        <v>#REF!</v>
      </c>
      <c r="EA97" t="e">
        <f>AND(#REF!,"AAAAAHu0+4I=")</f>
        <v>#REF!</v>
      </c>
      <c r="EB97" t="e">
        <f>IF(#REF!,"AAAAAHu0+4M=",0)</f>
        <v>#REF!</v>
      </c>
      <c r="EC97" t="e">
        <f>AND(#REF!,"AAAAAHu0+4Q=")</f>
        <v>#REF!</v>
      </c>
      <c r="ED97" t="e">
        <f>AND(#REF!,"AAAAAHu0+4U=")</f>
        <v>#REF!</v>
      </c>
      <c r="EE97" t="e">
        <f>AND(#REF!,"AAAAAHu0+4Y=")</f>
        <v>#REF!</v>
      </c>
      <c r="EF97" t="e">
        <f>AND(#REF!,"AAAAAHu0+4c=")</f>
        <v>#REF!</v>
      </c>
      <c r="EG97" t="e">
        <f>AND(#REF!,"AAAAAHu0+4g=")</f>
        <v>#REF!</v>
      </c>
      <c r="EH97" t="e">
        <f>AND(#REF!,"AAAAAHu0+4k=")</f>
        <v>#REF!</v>
      </c>
      <c r="EI97" t="e">
        <f>IF(#REF!,"AAAAAHu0+4o=",0)</f>
        <v>#REF!</v>
      </c>
      <c r="EJ97" t="e">
        <f>AND(#REF!,"AAAAAHu0+4s=")</f>
        <v>#REF!</v>
      </c>
      <c r="EK97" t="e">
        <f>AND(#REF!,"AAAAAHu0+4w=")</f>
        <v>#REF!</v>
      </c>
      <c r="EL97" t="e">
        <f>AND(#REF!,"AAAAAHu0+40=")</f>
        <v>#REF!</v>
      </c>
      <c r="EM97" t="e">
        <f>AND(#REF!,"AAAAAHu0+44=")</f>
        <v>#REF!</v>
      </c>
      <c r="EN97" t="e">
        <f>AND(#REF!,"AAAAAHu0+48=")</f>
        <v>#REF!</v>
      </c>
      <c r="EO97" t="e">
        <f>AND(#REF!,"AAAAAHu0+5A=")</f>
        <v>#REF!</v>
      </c>
      <c r="EP97" t="e">
        <f>IF(#REF!,"AAAAAHu0+5E=",0)</f>
        <v>#REF!</v>
      </c>
      <c r="EQ97" t="e">
        <f>AND(#REF!,"AAAAAHu0+5I=")</f>
        <v>#REF!</v>
      </c>
      <c r="ER97" t="e">
        <f>AND(#REF!,"AAAAAHu0+5M=")</f>
        <v>#REF!</v>
      </c>
      <c r="ES97" t="e">
        <f>AND(#REF!,"AAAAAHu0+5Q=")</f>
        <v>#REF!</v>
      </c>
      <c r="ET97" t="e">
        <f>AND(#REF!,"AAAAAHu0+5U=")</f>
        <v>#REF!</v>
      </c>
      <c r="EU97" t="e">
        <f>AND(#REF!,"AAAAAHu0+5Y=")</f>
        <v>#REF!</v>
      </c>
      <c r="EV97" t="e">
        <f>AND(#REF!,"AAAAAHu0+5c=")</f>
        <v>#REF!</v>
      </c>
      <c r="EW97" t="e">
        <f>IF(#REF!,"AAAAAHu0+5g=",0)</f>
        <v>#REF!</v>
      </c>
      <c r="EX97" t="e">
        <f>AND(#REF!,"AAAAAHu0+5k=")</f>
        <v>#REF!</v>
      </c>
      <c r="EY97" t="e">
        <f>AND(#REF!,"AAAAAHu0+5o=")</f>
        <v>#REF!</v>
      </c>
      <c r="EZ97" t="e">
        <f>AND(#REF!,"AAAAAHu0+5s=")</f>
        <v>#REF!</v>
      </c>
      <c r="FA97" t="e">
        <f>AND(#REF!,"AAAAAHu0+5w=")</f>
        <v>#REF!</v>
      </c>
      <c r="FB97" t="e">
        <f>AND(#REF!,"AAAAAHu0+50=")</f>
        <v>#REF!</v>
      </c>
      <c r="FC97" t="e">
        <f>AND(#REF!,"AAAAAHu0+54=")</f>
        <v>#REF!</v>
      </c>
      <c r="FD97" t="e">
        <f>IF(#REF!,"AAAAAHu0+58=",0)</f>
        <v>#REF!</v>
      </c>
      <c r="FE97" t="e">
        <f>AND(#REF!,"AAAAAHu0+6A=")</f>
        <v>#REF!</v>
      </c>
      <c r="FF97" t="e">
        <f>AND(#REF!,"AAAAAHu0+6E=")</f>
        <v>#REF!</v>
      </c>
      <c r="FG97" t="e">
        <f>AND(#REF!,"AAAAAHu0+6I=")</f>
        <v>#REF!</v>
      </c>
      <c r="FH97" t="e">
        <f>AND(#REF!,"AAAAAHu0+6M=")</f>
        <v>#REF!</v>
      </c>
      <c r="FI97" t="e">
        <f>AND(#REF!,"AAAAAHu0+6Q=")</f>
        <v>#REF!</v>
      </c>
      <c r="FJ97" t="e">
        <f>AND(#REF!,"AAAAAHu0+6U=")</f>
        <v>#REF!</v>
      </c>
      <c r="FK97" t="e">
        <f>IF(#REF!,"AAAAAHu0+6Y=",0)</f>
        <v>#REF!</v>
      </c>
      <c r="FL97" t="e">
        <f>AND(#REF!,"AAAAAHu0+6c=")</f>
        <v>#REF!</v>
      </c>
      <c r="FM97" t="e">
        <f>AND(#REF!,"AAAAAHu0+6g=")</f>
        <v>#REF!</v>
      </c>
      <c r="FN97" t="e">
        <f>AND(#REF!,"AAAAAHu0+6k=")</f>
        <v>#REF!</v>
      </c>
      <c r="FO97" t="e">
        <f>AND(#REF!,"AAAAAHu0+6o=")</f>
        <v>#REF!</v>
      </c>
      <c r="FP97" t="e">
        <f>AND(#REF!,"AAAAAHu0+6s=")</f>
        <v>#REF!</v>
      </c>
      <c r="FQ97" t="e">
        <f>AND(#REF!,"AAAAAHu0+6w=")</f>
        <v>#REF!</v>
      </c>
      <c r="FR97" t="e">
        <f>IF(#REF!,"AAAAAHu0+60=",0)</f>
        <v>#REF!</v>
      </c>
      <c r="FS97" t="e">
        <f>AND(#REF!,"AAAAAHu0+64=")</f>
        <v>#REF!</v>
      </c>
      <c r="FT97" t="e">
        <f>AND(#REF!,"AAAAAHu0+68=")</f>
        <v>#REF!</v>
      </c>
      <c r="FU97" t="e">
        <f>AND(#REF!,"AAAAAHu0+7A=")</f>
        <v>#REF!</v>
      </c>
      <c r="FV97" t="e">
        <f>AND(#REF!,"AAAAAHu0+7E=")</f>
        <v>#REF!</v>
      </c>
      <c r="FW97" t="e">
        <f>AND(#REF!,"AAAAAHu0+7I=")</f>
        <v>#REF!</v>
      </c>
      <c r="FX97" t="e">
        <f>AND(#REF!,"AAAAAHu0+7M=")</f>
        <v>#REF!</v>
      </c>
      <c r="FY97" t="e">
        <f>IF(#REF!,"AAAAAHu0+7Q=",0)</f>
        <v>#REF!</v>
      </c>
      <c r="FZ97" t="e">
        <f>AND(#REF!,"AAAAAHu0+7U=")</f>
        <v>#REF!</v>
      </c>
      <c r="GA97" t="e">
        <f>AND(#REF!,"AAAAAHu0+7Y=")</f>
        <v>#REF!</v>
      </c>
      <c r="GB97" t="e">
        <f>AND(#REF!,"AAAAAHu0+7c=")</f>
        <v>#REF!</v>
      </c>
      <c r="GC97" t="e">
        <f>AND(#REF!,"AAAAAHu0+7g=")</f>
        <v>#REF!</v>
      </c>
      <c r="GD97" t="e">
        <f>AND(#REF!,"AAAAAHu0+7k=")</f>
        <v>#REF!</v>
      </c>
      <c r="GE97" t="e">
        <f>AND(#REF!,"AAAAAHu0+7o=")</f>
        <v>#REF!</v>
      </c>
      <c r="GF97" t="e">
        <f>IF(#REF!,"AAAAAHu0+7s=",0)</f>
        <v>#REF!</v>
      </c>
      <c r="GG97" t="e">
        <f>AND(#REF!,"AAAAAHu0+7w=")</f>
        <v>#REF!</v>
      </c>
      <c r="GH97" t="e">
        <f>AND(#REF!,"AAAAAHu0+70=")</f>
        <v>#REF!</v>
      </c>
      <c r="GI97" t="e">
        <f>AND(#REF!,"AAAAAHu0+74=")</f>
        <v>#REF!</v>
      </c>
      <c r="GJ97" t="e">
        <f>AND(#REF!,"AAAAAHu0+78=")</f>
        <v>#REF!</v>
      </c>
      <c r="GK97" t="e">
        <f>AND(#REF!,"AAAAAHu0+8A=")</f>
        <v>#REF!</v>
      </c>
      <c r="GL97" t="e">
        <f>AND(#REF!,"AAAAAHu0+8E=")</f>
        <v>#REF!</v>
      </c>
      <c r="GM97" t="e">
        <f>IF(#REF!,"AAAAAHu0+8I=",0)</f>
        <v>#REF!</v>
      </c>
      <c r="GN97" t="e">
        <f>AND(#REF!,"AAAAAHu0+8M=")</f>
        <v>#REF!</v>
      </c>
      <c r="GO97" t="e">
        <f>AND(#REF!,"AAAAAHu0+8Q=")</f>
        <v>#REF!</v>
      </c>
      <c r="GP97" t="e">
        <f>AND(#REF!,"AAAAAHu0+8U=")</f>
        <v>#REF!</v>
      </c>
      <c r="GQ97" t="e">
        <f>AND(#REF!,"AAAAAHu0+8Y=")</f>
        <v>#REF!</v>
      </c>
      <c r="GR97" t="e">
        <f>AND(#REF!,"AAAAAHu0+8c=")</f>
        <v>#REF!</v>
      </c>
      <c r="GS97" t="e">
        <f>AND(#REF!,"AAAAAHu0+8g=")</f>
        <v>#REF!</v>
      </c>
      <c r="GT97" t="e">
        <f>IF(#REF!,"AAAAAHu0+8k=",0)</f>
        <v>#REF!</v>
      </c>
      <c r="GU97" t="e">
        <f>AND(#REF!,"AAAAAHu0+8o=")</f>
        <v>#REF!</v>
      </c>
      <c r="GV97" t="e">
        <f>AND(#REF!,"AAAAAHu0+8s=")</f>
        <v>#REF!</v>
      </c>
      <c r="GW97" t="e">
        <f>AND(#REF!,"AAAAAHu0+8w=")</f>
        <v>#REF!</v>
      </c>
      <c r="GX97" t="e">
        <f>AND(#REF!,"AAAAAHu0+80=")</f>
        <v>#REF!</v>
      </c>
      <c r="GY97" t="e">
        <f>AND(#REF!,"AAAAAHu0+84=")</f>
        <v>#REF!</v>
      </c>
      <c r="GZ97" t="e">
        <f>AND(#REF!,"AAAAAHu0+88=")</f>
        <v>#REF!</v>
      </c>
      <c r="HA97" t="e">
        <f>IF(#REF!,"AAAAAHu0+9A=",0)</f>
        <v>#REF!</v>
      </c>
      <c r="HB97" t="e">
        <f>AND(#REF!,"AAAAAHu0+9E=")</f>
        <v>#REF!</v>
      </c>
      <c r="HC97" t="e">
        <f>AND(#REF!,"AAAAAHu0+9I=")</f>
        <v>#REF!</v>
      </c>
      <c r="HD97" t="e">
        <f>AND(#REF!,"AAAAAHu0+9M=")</f>
        <v>#REF!</v>
      </c>
      <c r="HE97" t="e">
        <f>AND(#REF!,"AAAAAHu0+9Q=")</f>
        <v>#REF!</v>
      </c>
      <c r="HF97" t="e">
        <f>AND(#REF!,"AAAAAHu0+9U=")</f>
        <v>#REF!</v>
      </c>
      <c r="HG97" t="e">
        <f>AND(#REF!,"AAAAAHu0+9Y=")</f>
        <v>#REF!</v>
      </c>
      <c r="HH97" t="e">
        <f>IF(#REF!,"AAAAAHu0+9c=",0)</f>
        <v>#REF!</v>
      </c>
      <c r="HI97" t="e">
        <f>AND(#REF!,"AAAAAHu0+9g=")</f>
        <v>#REF!</v>
      </c>
      <c r="HJ97" t="e">
        <f>AND(#REF!,"AAAAAHu0+9k=")</f>
        <v>#REF!</v>
      </c>
      <c r="HK97" t="e">
        <f>AND(#REF!,"AAAAAHu0+9o=")</f>
        <v>#REF!</v>
      </c>
      <c r="HL97" t="e">
        <f>AND(#REF!,"AAAAAHu0+9s=")</f>
        <v>#REF!</v>
      </c>
      <c r="HM97" t="e">
        <f>AND(#REF!,"AAAAAHu0+9w=")</f>
        <v>#REF!</v>
      </c>
      <c r="HN97" t="e">
        <f>AND(#REF!,"AAAAAHu0+90=")</f>
        <v>#REF!</v>
      </c>
      <c r="HO97" t="e">
        <f>IF(#REF!,"AAAAAHu0+94=",0)</f>
        <v>#REF!</v>
      </c>
      <c r="HP97" t="e">
        <f>AND(#REF!,"AAAAAHu0+98=")</f>
        <v>#REF!</v>
      </c>
      <c r="HQ97" t="e">
        <f>AND(#REF!,"AAAAAHu0++A=")</f>
        <v>#REF!</v>
      </c>
      <c r="HR97" t="e">
        <f>AND(#REF!,"AAAAAHu0++E=")</f>
        <v>#REF!</v>
      </c>
      <c r="HS97" t="e">
        <f>AND(#REF!,"AAAAAHu0++I=")</f>
        <v>#REF!</v>
      </c>
      <c r="HT97" t="e">
        <f>AND(#REF!,"AAAAAHu0++M=")</f>
        <v>#REF!</v>
      </c>
      <c r="HU97" t="e">
        <f>AND(#REF!,"AAAAAHu0++Q=")</f>
        <v>#REF!</v>
      </c>
      <c r="HV97" t="e">
        <f>IF(#REF!,"AAAAAHu0++U=",0)</f>
        <v>#REF!</v>
      </c>
      <c r="HW97" t="e">
        <f>AND(#REF!,"AAAAAHu0++Y=")</f>
        <v>#REF!</v>
      </c>
      <c r="HX97" t="e">
        <f>AND(#REF!,"AAAAAHu0++c=")</f>
        <v>#REF!</v>
      </c>
      <c r="HY97" t="e">
        <f>AND(#REF!,"AAAAAHu0++g=")</f>
        <v>#REF!</v>
      </c>
      <c r="HZ97" t="e">
        <f>AND(#REF!,"AAAAAHu0++k=")</f>
        <v>#REF!</v>
      </c>
      <c r="IA97" t="e">
        <f>AND(#REF!,"AAAAAHu0++o=")</f>
        <v>#REF!</v>
      </c>
      <c r="IB97" t="e">
        <f>AND(#REF!,"AAAAAHu0++s=")</f>
        <v>#REF!</v>
      </c>
      <c r="IC97" t="e">
        <f>IF(#REF!,"AAAAAHu0++w=",0)</f>
        <v>#REF!</v>
      </c>
      <c r="ID97" t="e">
        <f>AND(#REF!,"AAAAAHu0++0=")</f>
        <v>#REF!</v>
      </c>
      <c r="IE97" t="e">
        <f>AND(#REF!,"AAAAAHu0++4=")</f>
        <v>#REF!</v>
      </c>
      <c r="IF97" t="e">
        <f>AND(#REF!,"AAAAAHu0++8=")</f>
        <v>#REF!</v>
      </c>
      <c r="IG97" t="e">
        <f>AND(#REF!,"AAAAAHu0+/A=")</f>
        <v>#REF!</v>
      </c>
      <c r="IH97" t="e">
        <f>AND(#REF!,"AAAAAHu0+/E=")</f>
        <v>#REF!</v>
      </c>
      <c r="II97" t="e">
        <f>AND(#REF!,"AAAAAHu0+/I=")</f>
        <v>#REF!</v>
      </c>
      <c r="IJ97" t="e">
        <f>IF(#REF!,"AAAAAHu0+/M=",0)</f>
        <v>#REF!</v>
      </c>
      <c r="IK97" t="e">
        <f>AND(#REF!,"AAAAAHu0+/Q=")</f>
        <v>#REF!</v>
      </c>
      <c r="IL97" t="e">
        <f>AND(#REF!,"AAAAAHu0+/U=")</f>
        <v>#REF!</v>
      </c>
      <c r="IM97" t="e">
        <f>AND(#REF!,"AAAAAHu0+/Y=")</f>
        <v>#REF!</v>
      </c>
      <c r="IN97" t="e">
        <f>AND(#REF!,"AAAAAHu0+/c=")</f>
        <v>#REF!</v>
      </c>
      <c r="IO97" t="e">
        <f>AND(#REF!,"AAAAAHu0+/g=")</f>
        <v>#REF!</v>
      </c>
      <c r="IP97" t="e">
        <f>AND(#REF!,"AAAAAHu0+/k=")</f>
        <v>#REF!</v>
      </c>
      <c r="IQ97" t="e">
        <f>IF(#REF!,"AAAAAHu0+/o=",0)</f>
        <v>#REF!</v>
      </c>
      <c r="IR97" t="e">
        <f>AND(#REF!,"AAAAAHu0+/s=")</f>
        <v>#REF!</v>
      </c>
      <c r="IS97" t="e">
        <f>AND(#REF!,"AAAAAHu0+/w=")</f>
        <v>#REF!</v>
      </c>
      <c r="IT97" t="e">
        <f>AND(#REF!,"AAAAAHu0+/0=")</f>
        <v>#REF!</v>
      </c>
      <c r="IU97" t="e">
        <f>AND(#REF!,"AAAAAHu0+/4=")</f>
        <v>#REF!</v>
      </c>
      <c r="IV97" t="e">
        <f>AND(#REF!,"AAAAAHu0+/8=")</f>
        <v>#REF!</v>
      </c>
    </row>
    <row r="98" spans="1:256" x14ac:dyDescent="0.15">
      <c r="A98" t="e">
        <f>AND(#REF!,"AAAAAHny/wA=")</f>
        <v>#REF!</v>
      </c>
      <c r="B98" t="e">
        <f>IF(#REF!,"AAAAAHny/wE=",0)</f>
        <v>#REF!</v>
      </c>
      <c r="C98" t="e">
        <f>AND(#REF!,"AAAAAHny/wI=")</f>
        <v>#REF!</v>
      </c>
      <c r="D98" t="e">
        <f>AND(#REF!,"AAAAAHny/wM=")</f>
        <v>#REF!</v>
      </c>
      <c r="E98" t="e">
        <f>AND(#REF!,"AAAAAHny/wQ=")</f>
        <v>#REF!</v>
      </c>
      <c r="F98" t="e">
        <f>AND(#REF!,"AAAAAHny/wU=")</f>
        <v>#REF!</v>
      </c>
      <c r="G98" t="e">
        <f>AND(#REF!,"AAAAAHny/wY=")</f>
        <v>#REF!</v>
      </c>
      <c r="H98" t="e">
        <f>AND(#REF!,"AAAAAHny/wc=")</f>
        <v>#REF!</v>
      </c>
      <c r="I98" t="e">
        <f>IF(#REF!,"AAAAAHny/wg=",0)</f>
        <v>#REF!</v>
      </c>
      <c r="J98" t="e">
        <f>AND(#REF!,"AAAAAHny/wk=")</f>
        <v>#REF!</v>
      </c>
      <c r="K98" t="e">
        <f>AND(#REF!,"AAAAAHny/wo=")</f>
        <v>#REF!</v>
      </c>
      <c r="L98" t="e">
        <f>AND(#REF!,"AAAAAHny/ws=")</f>
        <v>#REF!</v>
      </c>
      <c r="M98" t="e">
        <f>AND(#REF!,"AAAAAHny/ww=")</f>
        <v>#REF!</v>
      </c>
      <c r="N98" t="e">
        <f>AND(#REF!,"AAAAAHny/w0=")</f>
        <v>#REF!</v>
      </c>
      <c r="O98" t="e">
        <f>AND(#REF!,"AAAAAHny/w4=")</f>
        <v>#REF!</v>
      </c>
      <c r="P98" t="e">
        <f>IF(#REF!,"AAAAAHny/w8=",0)</f>
        <v>#REF!</v>
      </c>
      <c r="Q98" t="e">
        <f>AND(#REF!,"AAAAAHny/xA=")</f>
        <v>#REF!</v>
      </c>
      <c r="R98" t="e">
        <f>AND(#REF!,"AAAAAHny/xE=")</f>
        <v>#REF!</v>
      </c>
      <c r="S98" t="e">
        <f>AND(#REF!,"AAAAAHny/xI=")</f>
        <v>#REF!</v>
      </c>
      <c r="T98" t="e">
        <f>AND(#REF!,"AAAAAHny/xM=")</f>
        <v>#REF!</v>
      </c>
      <c r="U98" t="e">
        <f>AND(#REF!,"AAAAAHny/xQ=")</f>
        <v>#REF!</v>
      </c>
      <c r="V98" t="e">
        <f>AND(#REF!,"AAAAAHny/xU=")</f>
        <v>#REF!</v>
      </c>
      <c r="W98" t="e">
        <f>IF(#REF!,"AAAAAHny/xY=",0)</f>
        <v>#REF!</v>
      </c>
      <c r="X98" t="e">
        <f>AND(#REF!,"AAAAAHny/xc=")</f>
        <v>#REF!</v>
      </c>
      <c r="Y98" t="e">
        <f>AND(#REF!,"AAAAAHny/xg=")</f>
        <v>#REF!</v>
      </c>
      <c r="Z98" t="e">
        <f>AND(#REF!,"AAAAAHny/xk=")</f>
        <v>#REF!</v>
      </c>
      <c r="AA98" t="e">
        <f>AND(#REF!,"AAAAAHny/xo=")</f>
        <v>#REF!</v>
      </c>
      <c r="AB98" t="e">
        <f>AND(#REF!,"AAAAAHny/xs=")</f>
        <v>#REF!</v>
      </c>
      <c r="AC98" t="e">
        <f>AND(#REF!,"AAAAAHny/xw=")</f>
        <v>#REF!</v>
      </c>
      <c r="AD98" t="e">
        <f>IF(#REF!,"AAAAAHny/x0=",0)</f>
        <v>#REF!</v>
      </c>
      <c r="AE98" t="e">
        <f>AND(#REF!,"AAAAAHny/x4=")</f>
        <v>#REF!</v>
      </c>
      <c r="AF98" t="e">
        <f>AND(#REF!,"AAAAAHny/x8=")</f>
        <v>#REF!</v>
      </c>
      <c r="AG98" t="e">
        <f>AND(#REF!,"AAAAAHny/yA=")</f>
        <v>#REF!</v>
      </c>
      <c r="AH98" t="e">
        <f>AND(#REF!,"AAAAAHny/yE=")</f>
        <v>#REF!</v>
      </c>
      <c r="AI98" t="e">
        <f>AND(#REF!,"AAAAAHny/yI=")</f>
        <v>#REF!</v>
      </c>
      <c r="AJ98" t="e">
        <f>AND(#REF!,"AAAAAHny/yM=")</f>
        <v>#REF!</v>
      </c>
      <c r="AK98" t="e">
        <f>IF(#REF!,"AAAAAHny/yQ=",0)</f>
        <v>#REF!</v>
      </c>
      <c r="AL98" t="e">
        <f>AND(#REF!,"AAAAAHny/yU=")</f>
        <v>#REF!</v>
      </c>
      <c r="AM98" t="e">
        <f>AND(#REF!,"AAAAAHny/yY=")</f>
        <v>#REF!</v>
      </c>
      <c r="AN98" t="e">
        <f>AND(#REF!,"AAAAAHny/yc=")</f>
        <v>#REF!</v>
      </c>
      <c r="AO98" t="e">
        <f>AND(#REF!,"AAAAAHny/yg=")</f>
        <v>#REF!</v>
      </c>
      <c r="AP98" t="e">
        <f>AND(#REF!,"AAAAAHny/yk=")</f>
        <v>#REF!</v>
      </c>
      <c r="AQ98" t="e">
        <f>AND(#REF!,"AAAAAHny/yo=")</f>
        <v>#REF!</v>
      </c>
      <c r="AR98" t="e">
        <f>IF(#REF!,"AAAAAHny/ys=",0)</f>
        <v>#REF!</v>
      </c>
      <c r="AS98" t="e">
        <f>AND(#REF!,"AAAAAHny/yw=")</f>
        <v>#REF!</v>
      </c>
      <c r="AT98" t="e">
        <f>AND(#REF!,"AAAAAHny/y0=")</f>
        <v>#REF!</v>
      </c>
      <c r="AU98" t="e">
        <f>AND(#REF!,"AAAAAHny/y4=")</f>
        <v>#REF!</v>
      </c>
      <c r="AV98" t="e">
        <f>AND(#REF!,"AAAAAHny/y8=")</f>
        <v>#REF!</v>
      </c>
      <c r="AW98" t="e">
        <f>AND(#REF!,"AAAAAHny/zA=")</f>
        <v>#REF!</v>
      </c>
      <c r="AX98" t="e">
        <f>AND(#REF!,"AAAAAHny/zE=")</f>
        <v>#REF!</v>
      </c>
      <c r="AY98" t="e">
        <f>IF(#REF!,"AAAAAHny/zI=",0)</f>
        <v>#REF!</v>
      </c>
      <c r="AZ98" t="e">
        <f>AND(#REF!,"AAAAAHny/zM=")</f>
        <v>#REF!</v>
      </c>
      <c r="BA98" t="e">
        <f>AND(#REF!,"AAAAAHny/zQ=")</f>
        <v>#REF!</v>
      </c>
      <c r="BB98" t="e">
        <f>AND(#REF!,"AAAAAHny/zU=")</f>
        <v>#REF!</v>
      </c>
      <c r="BC98" t="e">
        <f>AND(#REF!,"AAAAAHny/zY=")</f>
        <v>#REF!</v>
      </c>
      <c r="BD98" t="e">
        <f>AND(#REF!,"AAAAAHny/zc=")</f>
        <v>#REF!</v>
      </c>
      <c r="BE98" t="e">
        <f>AND(#REF!,"AAAAAHny/zg=")</f>
        <v>#REF!</v>
      </c>
      <c r="BF98" t="e">
        <f>IF(#REF!,"AAAAAHny/zk=",0)</f>
        <v>#REF!</v>
      </c>
      <c r="BG98" t="e">
        <f>AND(#REF!,"AAAAAHny/zo=")</f>
        <v>#REF!</v>
      </c>
      <c r="BH98" t="e">
        <f>AND(#REF!,"AAAAAHny/zs=")</f>
        <v>#REF!</v>
      </c>
      <c r="BI98" t="e">
        <f>AND(#REF!,"AAAAAHny/zw=")</f>
        <v>#REF!</v>
      </c>
      <c r="BJ98" t="e">
        <f>AND(#REF!,"AAAAAHny/z0=")</f>
        <v>#REF!</v>
      </c>
      <c r="BK98" t="e">
        <f>AND(#REF!,"AAAAAHny/z4=")</f>
        <v>#REF!</v>
      </c>
      <c r="BL98" t="e">
        <f>AND(#REF!,"AAAAAHny/z8=")</f>
        <v>#REF!</v>
      </c>
      <c r="BM98" t="e">
        <f>IF(#REF!,"AAAAAHny/0A=",0)</f>
        <v>#REF!</v>
      </c>
      <c r="BN98" t="e">
        <f>AND(#REF!,"AAAAAHny/0E=")</f>
        <v>#REF!</v>
      </c>
      <c r="BO98" t="e">
        <f>AND(#REF!,"AAAAAHny/0I=")</f>
        <v>#REF!</v>
      </c>
      <c r="BP98" t="e">
        <f>AND(#REF!,"AAAAAHny/0M=")</f>
        <v>#REF!</v>
      </c>
      <c r="BQ98" t="e">
        <f>AND(#REF!,"AAAAAHny/0Q=")</f>
        <v>#REF!</v>
      </c>
      <c r="BR98" t="e">
        <f>AND(#REF!,"AAAAAHny/0U=")</f>
        <v>#REF!</v>
      </c>
      <c r="BS98" t="e">
        <f>AND(#REF!,"AAAAAHny/0Y=")</f>
        <v>#REF!</v>
      </c>
      <c r="BT98" t="e">
        <f>IF(#REF!,"AAAAAHny/0c=",0)</f>
        <v>#REF!</v>
      </c>
      <c r="BU98" t="e">
        <f>AND(#REF!,"AAAAAHny/0g=")</f>
        <v>#REF!</v>
      </c>
      <c r="BV98" t="e">
        <f>AND(#REF!,"AAAAAHny/0k=")</f>
        <v>#REF!</v>
      </c>
      <c r="BW98" t="e">
        <f>AND(#REF!,"AAAAAHny/0o=")</f>
        <v>#REF!</v>
      </c>
      <c r="BX98" t="e">
        <f>AND(#REF!,"AAAAAHny/0s=")</f>
        <v>#REF!</v>
      </c>
      <c r="BY98" t="e">
        <f>AND(#REF!,"AAAAAHny/0w=")</f>
        <v>#REF!</v>
      </c>
      <c r="BZ98" t="e">
        <f>AND(#REF!,"AAAAAHny/00=")</f>
        <v>#REF!</v>
      </c>
      <c r="CA98" t="e">
        <f>IF(#REF!,"AAAAAHny/04=",0)</f>
        <v>#REF!</v>
      </c>
      <c r="CB98" t="e">
        <f>AND(#REF!,"AAAAAHny/08=")</f>
        <v>#REF!</v>
      </c>
      <c r="CC98" t="e">
        <f>AND(#REF!,"AAAAAHny/1A=")</f>
        <v>#REF!</v>
      </c>
      <c r="CD98" t="e">
        <f>AND(#REF!,"AAAAAHny/1E=")</f>
        <v>#REF!</v>
      </c>
      <c r="CE98" t="e">
        <f>AND(#REF!,"AAAAAHny/1I=")</f>
        <v>#REF!</v>
      </c>
      <c r="CF98" t="e">
        <f>AND(#REF!,"AAAAAHny/1M=")</f>
        <v>#REF!</v>
      </c>
      <c r="CG98" t="e">
        <f>AND(#REF!,"AAAAAHny/1Q=")</f>
        <v>#REF!</v>
      </c>
      <c r="CH98" t="e">
        <f>IF(#REF!,"AAAAAHny/1U=",0)</f>
        <v>#REF!</v>
      </c>
      <c r="CI98" t="e">
        <f>AND(#REF!,"AAAAAHny/1Y=")</f>
        <v>#REF!</v>
      </c>
      <c r="CJ98" t="e">
        <f>AND(#REF!,"AAAAAHny/1c=")</f>
        <v>#REF!</v>
      </c>
      <c r="CK98" t="e">
        <f>AND(#REF!,"AAAAAHny/1g=")</f>
        <v>#REF!</v>
      </c>
      <c r="CL98" t="e">
        <f>AND(#REF!,"AAAAAHny/1k=")</f>
        <v>#REF!</v>
      </c>
      <c r="CM98" t="e">
        <f>AND(#REF!,"AAAAAHny/1o=")</f>
        <v>#REF!</v>
      </c>
      <c r="CN98" t="e">
        <f>AND(#REF!,"AAAAAHny/1s=")</f>
        <v>#REF!</v>
      </c>
      <c r="CO98" t="e">
        <f>IF(#REF!,"AAAAAHny/1w=",0)</f>
        <v>#REF!</v>
      </c>
      <c r="CP98" t="e">
        <f>AND(#REF!,"AAAAAHny/10=")</f>
        <v>#REF!</v>
      </c>
      <c r="CQ98" t="e">
        <f>AND(#REF!,"AAAAAHny/14=")</f>
        <v>#REF!</v>
      </c>
      <c r="CR98" t="e">
        <f>AND(#REF!,"AAAAAHny/18=")</f>
        <v>#REF!</v>
      </c>
      <c r="CS98" t="e">
        <f>AND(#REF!,"AAAAAHny/2A=")</f>
        <v>#REF!</v>
      </c>
      <c r="CT98" t="e">
        <f>AND(#REF!,"AAAAAHny/2E=")</f>
        <v>#REF!</v>
      </c>
      <c r="CU98" t="e">
        <f>AND(#REF!,"AAAAAHny/2I=")</f>
        <v>#REF!</v>
      </c>
      <c r="CV98" t="e">
        <f>IF(#REF!,"AAAAAHny/2M=",0)</f>
        <v>#REF!</v>
      </c>
      <c r="CW98" t="e">
        <f>AND(#REF!,"AAAAAHny/2Q=")</f>
        <v>#REF!</v>
      </c>
      <c r="CX98" t="e">
        <f>AND(#REF!,"AAAAAHny/2U=")</f>
        <v>#REF!</v>
      </c>
      <c r="CY98" t="e">
        <f>AND(#REF!,"AAAAAHny/2Y=")</f>
        <v>#REF!</v>
      </c>
      <c r="CZ98" t="e">
        <f>AND(#REF!,"AAAAAHny/2c=")</f>
        <v>#REF!</v>
      </c>
      <c r="DA98" t="e">
        <f>AND(#REF!,"AAAAAHny/2g=")</f>
        <v>#REF!</v>
      </c>
      <c r="DB98" t="e">
        <f>AND(#REF!,"AAAAAHny/2k=")</f>
        <v>#REF!</v>
      </c>
      <c r="DC98" t="e">
        <f>IF(#REF!,"AAAAAHny/2o=",0)</f>
        <v>#REF!</v>
      </c>
      <c r="DD98" t="e">
        <f>AND(#REF!,"AAAAAHny/2s=")</f>
        <v>#REF!</v>
      </c>
      <c r="DE98" t="e">
        <f>AND(#REF!,"AAAAAHny/2w=")</f>
        <v>#REF!</v>
      </c>
      <c r="DF98" t="e">
        <f>AND(#REF!,"AAAAAHny/20=")</f>
        <v>#REF!</v>
      </c>
      <c r="DG98" t="e">
        <f>AND(#REF!,"AAAAAHny/24=")</f>
        <v>#REF!</v>
      </c>
      <c r="DH98" t="e">
        <f>AND(#REF!,"AAAAAHny/28=")</f>
        <v>#REF!</v>
      </c>
      <c r="DI98" t="e">
        <f>AND(#REF!,"AAAAAHny/3A=")</f>
        <v>#REF!</v>
      </c>
      <c r="DJ98" t="e">
        <f>IF(#REF!,"AAAAAHny/3E=",0)</f>
        <v>#REF!</v>
      </c>
      <c r="DK98" t="e">
        <f>AND(#REF!,"AAAAAHny/3I=")</f>
        <v>#REF!</v>
      </c>
      <c r="DL98" t="e">
        <f>AND(#REF!,"AAAAAHny/3M=")</f>
        <v>#REF!</v>
      </c>
      <c r="DM98" t="e">
        <f>AND(#REF!,"AAAAAHny/3Q=")</f>
        <v>#REF!</v>
      </c>
      <c r="DN98" t="e">
        <f>AND(#REF!,"AAAAAHny/3U=")</f>
        <v>#REF!</v>
      </c>
      <c r="DO98" t="e">
        <f>AND(#REF!,"AAAAAHny/3Y=")</f>
        <v>#REF!</v>
      </c>
      <c r="DP98" t="e">
        <f>AND(#REF!,"AAAAAHny/3c=")</f>
        <v>#REF!</v>
      </c>
      <c r="DQ98" t="e">
        <f>IF(#REF!,"AAAAAHny/3g=",0)</f>
        <v>#REF!</v>
      </c>
      <c r="DR98" t="e">
        <f>AND(#REF!,"AAAAAHny/3k=")</f>
        <v>#REF!</v>
      </c>
      <c r="DS98" t="e">
        <f>AND(#REF!,"AAAAAHny/3o=")</f>
        <v>#REF!</v>
      </c>
      <c r="DT98" t="e">
        <f>AND(#REF!,"AAAAAHny/3s=")</f>
        <v>#REF!</v>
      </c>
      <c r="DU98" t="e">
        <f>AND(#REF!,"AAAAAHny/3w=")</f>
        <v>#REF!</v>
      </c>
      <c r="DV98" t="e">
        <f>AND(#REF!,"AAAAAHny/30=")</f>
        <v>#REF!</v>
      </c>
      <c r="DW98" t="e">
        <f>AND(#REF!,"AAAAAHny/34=")</f>
        <v>#REF!</v>
      </c>
      <c r="DX98" t="e">
        <f>IF(#REF!,"AAAAAHny/38=",0)</f>
        <v>#REF!</v>
      </c>
      <c r="DY98" t="e">
        <f>AND(#REF!,"AAAAAHny/4A=")</f>
        <v>#REF!</v>
      </c>
      <c r="DZ98" t="e">
        <f>AND(#REF!,"AAAAAHny/4E=")</f>
        <v>#REF!</v>
      </c>
      <c r="EA98" t="e">
        <f>AND(#REF!,"AAAAAHny/4I=")</f>
        <v>#REF!</v>
      </c>
      <c r="EB98" t="e">
        <f>AND(#REF!,"AAAAAHny/4M=")</f>
        <v>#REF!</v>
      </c>
      <c r="EC98" t="e">
        <f>AND(#REF!,"AAAAAHny/4Q=")</f>
        <v>#REF!</v>
      </c>
      <c r="ED98" t="e">
        <f>AND(#REF!,"AAAAAHny/4U=")</f>
        <v>#REF!</v>
      </c>
      <c r="EE98" t="e">
        <f>IF(#REF!,"AAAAAHny/4Y=",0)</f>
        <v>#REF!</v>
      </c>
      <c r="EF98" t="e">
        <f>AND(#REF!,"AAAAAHny/4c=")</f>
        <v>#REF!</v>
      </c>
      <c r="EG98" t="e">
        <f>AND(#REF!,"AAAAAHny/4g=")</f>
        <v>#REF!</v>
      </c>
      <c r="EH98" t="e">
        <f>AND(#REF!,"AAAAAHny/4k=")</f>
        <v>#REF!</v>
      </c>
      <c r="EI98" t="e">
        <f>AND(#REF!,"AAAAAHny/4o=")</f>
        <v>#REF!</v>
      </c>
      <c r="EJ98" t="e">
        <f>AND(#REF!,"AAAAAHny/4s=")</f>
        <v>#REF!</v>
      </c>
      <c r="EK98" t="e">
        <f>AND(#REF!,"AAAAAHny/4w=")</f>
        <v>#REF!</v>
      </c>
      <c r="EL98" t="e">
        <f>IF(#REF!,"AAAAAHny/40=",0)</f>
        <v>#REF!</v>
      </c>
      <c r="EM98" t="e">
        <f>AND(#REF!,"AAAAAHny/44=")</f>
        <v>#REF!</v>
      </c>
      <c r="EN98" t="e">
        <f>AND(#REF!,"AAAAAHny/48=")</f>
        <v>#REF!</v>
      </c>
      <c r="EO98" t="e">
        <f>AND(#REF!,"AAAAAHny/5A=")</f>
        <v>#REF!</v>
      </c>
      <c r="EP98" t="e">
        <f>AND(#REF!,"AAAAAHny/5E=")</f>
        <v>#REF!</v>
      </c>
      <c r="EQ98" t="e">
        <f>AND(#REF!,"AAAAAHny/5I=")</f>
        <v>#REF!</v>
      </c>
      <c r="ER98" t="e">
        <f>AND(#REF!,"AAAAAHny/5M=")</f>
        <v>#REF!</v>
      </c>
      <c r="ES98" t="e">
        <f>IF(#REF!,"AAAAAHny/5Q=",0)</f>
        <v>#REF!</v>
      </c>
      <c r="ET98" t="e">
        <f>AND(#REF!,"AAAAAHny/5U=")</f>
        <v>#REF!</v>
      </c>
      <c r="EU98" t="e">
        <f>AND(#REF!,"AAAAAHny/5Y=")</f>
        <v>#REF!</v>
      </c>
      <c r="EV98" t="e">
        <f>AND(#REF!,"AAAAAHny/5c=")</f>
        <v>#REF!</v>
      </c>
      <c r="EW98" t="e">
        <f>AND(#REF!,"AAAAAHny/5g=")</f>
        <v>#REF!</v>
      </c>
      <c r="EX98" t="e">
        <f>AND(#REF!,"AAAAAHny/5k=")</f>
        <v>#REF!</v>
      </c>
      <c r="EY98" t="e">
        <f>AND(#REF!,"AAAAAHny/5o=")</f>
        <v>#REF!</v>
      </c>
      <c r="EZ98" t="e">
        <f>IF(#REF!,"AAAAAHny/5s=",0)</f>
        <v>#REF!</v>
      </c>
      <c r="FA98" t="e">
        <f>AND(#REF!,"AAAAAHny/5w=")</f>
        <v>#REF!</v>
      </c>
      <c r="FB98" t="e">
        <f>AND(#REF!,"AAAAAHny/50=")</f>
        <v>#REF!</v>
      </c>
      <c r="FC98" t="e">
        <f>AND(#REF!,"AAAAAHny/54=")</f>
        <v>#REF!</v>
      </c>
      <c r="FD98" t="e">
        <f>AND(#REF!,"AAAAAHny/58=")</f>
        <v>#REF!</v>
      </c>
      <c r="FE98" t="e">
        <f>AND(#REF!,"AAAAAHny/6A=")</f>
        <v>#REF!</v>
      </c>
      <c r="FF98" t="e">
        <f>AND(#REF!,"AAAAAHny/6E=")</f>
        <v>#REF!</v>
      </c>
      <c r="FG98" t="e">
        <f>IF(#REF!,"AAAAAHny/6I=",0)</f>
        <v>#REF!</v>
      </c>
      <c r="FH98" t="e">
        <f>AND(#REF!,"AAAAAHny/6M=")</f>
        <v>#REF!</v>
      </c>
      <c r="FI98" t="e">
        <f>AND(#REF!,"AAAAAHny/6Q=")</f>
        <v>#REF!</v>
      </c>
      <c r="FJ98" t="e">
        <f>AND(#REF!,"AAAAAHny/6U=")</f>
        <v>#REF!</v>
      </c>
      <c r="FK98" t="e">
        <f>AND(#REF!,"AAAAAHny/6Y=")</f>
        <v>#REF!</v>
      </c>
      <c r="FL98" t="e">
        <f>AND(#REF!,"AAAAAHny/6c=")</f>
        <v>#REF!</v>
      </c>
      <c r="FM98" t="e">
        <f>AND(#REF!,"AAAAAHny/6g=")</f>
        <v>#REF!</v>
      </c>
      <c r="FN98" t="e">
        <f>IF(#REF!,"AAAAAHny/6k=",0)</f>
        <v>#REF!</v>
      </c>
      <c r="FO98" t="e">
        <f>AND(#REF!,"AAAAAHny/6o=")</f>
        <v>#REF!</v>
      </c>
      <c r="FP98" t="e">
        <f>AND(#REF!,"AAAAAHny/6s=")</f>
        <v>#REF!</v>
      </c>
      <c r="FQ98" t="e">
        <f>AND(#REF!,"AAAAAHny/6w=")</f>
        <v>#REF!</v>
      </c>
      <c r="FR98" t="e">
        <f>AND(#REF!,"AAAAAHny/60=")</f>
        <v>#REF!</v>
      </c>
      <c r="FS98" t="e">
        <f>AND(#REF!,"AAAAAHny/64=")</f>
        <v>#REF!</v>
      </c>
      <c r="FT98" t="e">
        <f>AND(#REF!,"AAAAAHny/68=")</f>
        <v>#REF!</v>
      </c>
      <c r="FU98" t="e">
        <f>IF(#REF!,"AAAAAHny/7A=",0)</f>
        <v>#REF!</v>
      </c>
      <c r="FV98" t="e">
        <f>AND(#REF!,"AAAAAHny/7E=")</f>
        <v>#REF!</v>
      </c>
      <c r="FW98" t="e">
        <f>AND(#REF!,"AAAAAHny/7I=")</f>
        <v>#REF!</v>
      </c>
      <c r="FX98" t="e">
        <f>AND(#REF!,"AAAAAHny/7M=")</f>
        <v>#REF!</v>
      </c>
      <c r="FY98" t="e">
        <f>AND(#REF!,"AAAAAHny/7Q=")</f>
        <v>#REF!</v>
      </c>
      <c r="FZ98" t="e">
        <f>AND(#REF!,"AAAAAHny/7U=")</f>
        <v>#REF!</v>
      </c>
      <c r="GA98" t="e">
        <f>AND(#REF!,"AAAAAHny/7Y=")</f>
        <v>#REF!</v>
      </c>
      <c r="GB98" t="e">
        <f>IF(#REF!,"AAAAAHny/7c=",0)</f>
        <v>#REF!</v>
      </c>
      <c r="GC98" t="e">
        <f>AND(#REF!,"AAAAAHny/7g=")</f>
        <v>#REF!</v>
      </c>
      <c r="GD98" t="e">
        <f>AND(#REF!,"AAAAAHny/7k=")</f>
        <v>#REF!</v>
      </c>
      <c r="GE98" t="e">
        <f>AND(#REF!,"AAAAAHny/7o=")</f>
        <v>#REF!</v>
      </c>
      <c r="GF98" t="e">
        <f>AND(#REF!,"AAAAAHny/7s=")</f>
        <v>#REF!</v>
      </c>
      <c r="GG98" t="e">
        <f>AND(#REF!,"AAAAAHny/7w=")</f>
        <v>#REF!</v>
      </c>
      <c r="GH98" t="e">
        <f>AND(#REF!,"AAAAAHny/70=")</f>
        <v>#REF!</v>
      </c>
      <c r="GI98" t="e">
        <f>IF(#REF!,"AAAAAHny/74=",0)</f>
        <v>#REF!</v>
      </c>
      <c r="GJ98" t="e">
        <f>AND(#REF!,"AAAAAHny/78=")</f>
        <v>#REF!</v>
      </c>
      <c r="GK98" t="e">
        <f>AND(#REF!,"AAAAAHny/8A=")</f>
        <v>#REF!</v>
      </c>
      <c r="GL98" t="e">
        <f>AND(#REF!,"AAAAAHny/8E=")</f>
        <v>#REF!</v>
      </c>
      <c r="GM98" t="e">
        <f>AND(#REF!,"AAAAAHny/8I=")</f>
        <v>#REF!</v>
      </c>
      <c r="GN98" t="e">
        <f>AND(#REF!,"AAAAAHny/8M=")</f>
        <v>#REF!</v>
      </c>
      <c r="GO98" t="e">
        <f>AND(#REF!,"AAAAAHny/8Q=")</f>
        <v>#REF!</v>
      </c>
      <c r="GP98" t="e">
        <f>IF(#REF!,"AAAAAHny/8U=",0)</f>
        <v>#REF!</v>
      </c>
      <c r="GQ98" t="e">
        <f>AND(#REF!,"AAAAAHny/8Y=")</f>
        <v>#REF!</v>
      </c>
      <c r="GR98" t="e">
        <f>AND(#REF!,"AAAAAHny/8c=")</f>
        <v>#REF!</v>
      </c>
      <c r="GS98" t="e">
        <f>AND(#REF!,"AAAAAHny/8g=")</f>
        <v>#REF!</v>
      </c>
      <c r="GT98" t="e">
        <f>AND(#REF!,"AAAAAHny/8k=")</f>
        <v>#REF!</v>
      </c>
      <c r="GU98" t="e">
        <f>AND(#REF!,"AAAAAHny/8o=")</f>
        <v>#REF!</v>
      </c>
      <c r="GV98" t="e">
        <f>AND(#REF!,"AAAAAHny/8s=")</f>
        <v>#REF!</v>
      </c>
      <c r="GW98" t="e">
        <f>IF(#REF!,"AAAAAHny/8w=",0)</f>
        <v>#REF!</v>
      </c>
      <c r="GX98" t="e">
        <f>AND(#REF!,"AAAAAHny/80=")</f>
        <v>#REF!</v>
      </c>
      <c r="GY98" t="e">
        <f>AND(#REF!,"AAAAAHny/84=")</f>
        <v>#REF!</v>
      </c>
      <c r="GZ98" t="e">
        <f>AND(#REF!,"AAAAAHny/88=")</f>
        <v>#REF!</v>
      </c>
      <c r="HA98" t="e">
        <f>AND(#REF!,"AAAAAHny/9A=")</f>
        <v>#REF!</v>
      </c>
      <c r="HB98" t="e">
        <f>AND(#REF!,"AAAAAHny/9E=")</f>
        <v>#REF!</v>
      </c>
      <c r="HC98" t="e">
        <f>AND(#REF!,"AAAAAHny/9I=")</f>
        <v>#REF!</v>
      </c>
      <c r="HD98" t="e">
        <f>IF(#REF!,"AAAAAHny/9M=",0)</f>
        <v>#REF!</v>
      </c>
      <c r="HE98" t="e">
        <f>AND(#REF!,"AAAAAHny/9Q=")</f>
        <v>#REF!</v>
      </c>
      <c r="HF98" t="e">
        <f>AND(#REF!,"AAAAAHny/9U=")</f>
        <v>#REF!</v>
      </c>
      <c r="HG98" t="e">
        <f>AND(#REF!,"AAAAAHny/9Y=")</f>
        <v>#REF!</v>
      </c>
      <c r="HH98" t="e">
        <f>AND(#REF!,"AAAAAHny/9c=")</f>
        <v>#REF!</v>
      </c>
      <c r="HI98" t="e">
        <f>AND(#REF!,"AAAAAHny/9g=")</f>
        <v>#REF!</v>
      </c>
      <c r="HJ98" t="e">
        <f>AND(#REF!,"AAAAAHny/9k=")</f>
        <v>#REF!</v>
      </c>
      <c r="HK98" t="e">
        <f>IF(#REF!,"AAAAAHny/9o=",0)</f>
        <v>#REF!</v>
      </c>
      <c r="HL98" t="e">
        <f>AND(#REF!,"AAAAAHny/9s=")</f>
        <v>#REF!</v>
      </c>
      <c r="HM98" t="e">
        <f>AND(#REF!,"AAAAAHny/9w=")</f>
        <v>#REF!</v>
      </c>
      <c r="HN98" t="e">
        <f>AND(#REF!,"AAAAAHny/90=")</f>
        <v>#REF!</v>
      </c>
      <c r="HO98" t="e">
        <f>AND(#REF!,"AAAAAHny/94=")</f>
        <v>#REF!</v>
      </c>
      <c r="HP98" t="e">
        <f>AND(#REF!,"AAAAAHny/98=")</f>
        <v>#REF!</v>
      </c>
      <c r="HQ98" t="e">
        <f>AND(#REF!,"AAAAAHny/+A=")</f>
        <v>#REF!</v>
      </c>
      <c r="HR98" t="e">
        <f>IF(#REF!,"AAAAAHny/+E=",0)</f>
        <v>#REF!</v>
      </c>
      <c r="HS98" t="e">
        <f>AND(#REF!,"AAAAAHny/+I=")</f>
        <v>#REF!</v>
      </c>
      <c r="HT98" t="e">
        <f>AND(#REF!,"AAAAAHny/+M=")</f>
        <v>#REF!</v>
      </c>
      <c r="HU98" t="e">
        <f>AND(#REF!,"AAAAAHny/+Q=")</f>
        <v>#REF!</v>
      </c>
      <c r="HV98" t="e">
        <f>AND(#REF!,"AAAAAHny/+U=")</f>
        <v>#REF!</v>
      </c>
      <c r="HW98" t="e">
        <f>AND(#REF!,"AAAAAHny/+Y=")</f>
        <v>#REF!</v>
      </c>
      <c r="HX98" t="e">
        <f>AND(#REF!,"AAAAAHny/+c=")</f>
        <v>#REF!</v>
      </c>
      <c r="HY98" t="e">
        <f>IF(#REF!,"AAAAAHny/+g=",0)</f>
        <v>#REF!</v>
      </c>
      <c r="HZ98" t="e">
        <f>AND(#REF!,"AAAAAHny/+k=")</f>
        <v>#REF!</v>
      </c>
      <c r="IA98" t="e">
        <f>AND(#REF!,"AAAAAHny/+o=")</f>
        <v>#REF!</v>
      </c>
      <c r="IB98" t="e">
        <f>AND(#REF!,"AAAAAHny/+s=")</f>
        <v>#REF!</v>
      </c>
      <c r="IC98" t="e">
        <f>AND(#REF!,"AAAAAHny/+w=")</f>
        <v>#REF!</v>
      </c>
      <c r="ID98" t="e">
        <f>AND(#REF!,"AAAAAHny/+0=")</f>
        <v>#REF!</v>
      </c>
      <c r="IE98" t="e">
        <f>AND(#REF!,"AAAAAHny/+4=")</f>
        <v>#REF!</v>
      </c>
      <c r="IF98" t="e">
        <f>IF(#REF!,"AAAAAHny/+8=",0)</f>
        <v>#REF!</v>
      </c>
      <c r="IG98" t="e">
        <f>AND(#REF!,"AAAAAHny//A=")</f>
        <v>#REF!</v>
      </c>
      <c r="IH98" t="e">
        <f>AND(#REF!,"AAAAAHny//E=")</f>
        <v>#REF!</v>
      </c>
      <c r="II98" t="e">
        <f>AND(#REF!,"AAAAAHny//I=")</f>
        <v>#REF!</v>
      </c>
      <c r="IJ98" t="e">
        <f>AND(#REF!,"AAAAAHny//M=")</f>
        <v>#REF!</v>
      </c>
      <c r="IK98" t="e">
        <f>AND(#REF!,"AAAAAHny//Q=")</f>
        <v>#REF!</v>
      </c>
      <c r="IL98" t="e">
        <f>AND(#REF!,"AAAAAHny//U=")</f>
        <v>#REF!</v>
      </c>
      <c r="IM98" t="e">
        <f>IF(#REF!,"AAAAAHny//Y=",0)</f>
        <v>#REF!</v>
      </c>
      <c r="IN98" t="e">
        <f>AND(#REF!,"AAAAAHny//c=")</f>
        <v>#REF!</v>
      </c>
      <c r="IO98" t="e">
        <f>AND(#REF!,"AAAAAHny//g=")</f>
        <v>#REF!</v>
      </c>
      <c r="IP98" t="e">
        <f>AND(#REF!,"AAAAAHny//k=")</f>
        <v>#REF!</v>
      </c>
      <c r="IQ98" t="e">
        <f>AND(#REF!,"AAAAAHny//o=")</f>
        <v>#REF!</v>
      </c>
      <c r="IR98" t="e">
        <f>AND(#REF!,"AAAAAHny//s=")</f>
        <v>#REF!</v>
      </c>
      <c r="IS98" t="e">
        <f>AND(#REF!,"AAAAAHny//w=")</f>
        <v>#REF!</v>
      </c>
      <c r="IT98" t="e">
        <f>IF(#REF!,"AAAAAHny//0=",0)</f>
        <v>#REF!</v>
      </c>
      <c r="IU98" t="e">
        <f>AND(#REF!,"AAAAAHny//4=")</f>
        <v>#REF!</v>
      </c>
      <c r="IV98" t="e">
        <f>AND(#REF!,"AAAAAHny//8=")</f>
        <v>#REF!</v>
      </c>
    </row>
    <row r="99" spans="1:256" x14ac:dyDescent="0.15">
      <c r="A99" t="e">
        <f>AND(#REF!,"AAAAAD+e7QA=")</f>
        <v>#REF!</v>
      </c>
      <c r="B99" t="e">
        <f>AND(#REF!,"AAAAAD+e7QE=")</f>
        <v>#REF!</v>
      </c>
      <c r="C99" t="e">
        <f>AND(#REF!,"AAAAAD+e7QI=")</f>
        <v>#REF!</v>
      </c>
      <c r="D99" t="e">
        <f>AND(#REF!,"AAAAAD+e7QM=")</f>
        <v>#REF!</v>
      </c>
      <c r="E99" t="e">
        <f>IF(#REF!,"AAAAAD+e7QQ=",0)</f>
        <v>#REF!</v>
      </c>
      <c r="F99" t="e">
        <f>AND(#REF!,"AAAAAD+e7QU=")</f>
        <v>#REF!</v>
      </c>
      <c r="G99" t="e">
        <f>AND(#REF!,"AAAAAD+e7QY=")</f>
        <v>#REF!</v>
      </c>
      <c r="H99" t="e">
        <f>AND(#REF!,"AAAAAD+e7Qc=")</f>
        <v>#REF!</v>
      </c>
      <c r="I99" t="e">
        <f>AND(#REF!,"AAAAAD+e7Qg=")</f>
        <v>#REF!</v>
      </c>
      <c r="J99" t="e">
        <f>AND(#REF!,"AAAAAD+e7Qk=")</f>
        <v>#REF!</v>
      </c>
      <c r="K99" t="e">
        <f>AND(#REF!,"AAAAAD+e7Qo=")</f>
        <v>#REF!</v>
      </c>
      <c r="L99" t="e">
        <f>IF(#REF!,"AAAAAD+e7Qs=",0)</f>
        <v>#REF!</v>
      </c>
      <c r="M99" t="e">
        <f>AND(#REF!,"AAAAAD+e7Qw=")</f>
        <v>#REF!</v>
      </c>
      <c r="N99" t="e">
        <f>AND(#REF!,"AAAAAD+e7Q0=")</f>
        <v>#REF!</v>
      </c>
      <c r="O99" t="e">
        <f>AND(#REF!,"AAAAAD+e7Q4=")</f>
        <v>#REF!</v>
      </c>
      <c r="P99" t="e">
        <f>AND(#REF!,"AAAAAD+e7Q8=")</f>
        <v>#REF!</v>
      </c>
      <c r="Q99" t="e">
        <f>AND(#REF!,"AAAAAD+e7RA=")</f>
        <v>#REF!</v>
      </c>
      <c r="R99" t="e">
        <f>AND(#REF!,"AAAAAD+e7RE=")</f>
        <v>#REF!</v>
      </c>
      <c r="S99" t="e">
        <f>IF(#REF!,"AAAAAD+e7RI=",0)</f>
        <v>#REF!</v>
      </c>
      <c r="T99" t="e">
        <f>AND(#REF!,"AAAAAD+e7RM=")</f>
        <v>#REF!</v>
      </c>
      <c r="U99" t="e">
        <f>AND(#REF!,"AAAAAD+e7RQ=")</f>
        <v>#REF!</v>
      </c>
      <c r="V99" t="e">
        <f>AND(#REF!,"AAAAAD+e7RU=")</f>
        <v>#REF!</v>
      </c>
      <c r="W99" t="e">
        <f>AND(#REF!,"AAAAAD+e7RY=")</f>
        <v>#REF!</v>
      </c>
      <c r="X99" t="e">
        <f>AND(#REF!,"AAAAAD+e7Rc=")</f>
        <v>#REF!</v>
      </c>
      <c r="Y99" t="e">
        <f>AND(#REF!,"AAAAAD+e7Rg=")</f>
        <v>#REF!</v>
      </c>
      <c r="Z99" t="e">
        <f>IF(#REF!,"AAAAAD+e7Rk=",0)</f>
        <v>#REF!</v>
      </c>
      <c r="AA99" t="e">
        <f>AND(#REF!,"AAAAAD+e7Ro=")</f>
        <v>#REF!</v>
      </c>
      <c r="AB99" t="e">
        <f>AND(#REF!,"AAAAAD+e7Rs=")</f>
        <v>#REF!</v>
      </c>
      <c r="AC99" t="e">
        <f>AND(#REF!,"AAAAAD+e7Rw=")</f>
        <v>#REF!</v>
      </c>
      <c r="AD99" t="e">
        <f>AND(#REF!,"AAAAAD+e7R0=")</f>
        <v>#REF!</v>
      </c>
      <c r="AE99" t="e">
        <f>AND(#REF!,"AAAAAD+e7R4=")</f>
        <v>#REF!</v>
      </c>
      <c r="AF99" t="e">
        <f>AND(#REF!,"AAAAAD+e7R8=")</f>
        <v>#REF!</v>
      </c>
      <c r="AG99" t="e">
        <f>IF(#REF!,"AAAAAD+e7SA=",0)</f>
        <v>#REF!</v>
      </c>
      <c r="AH99" t="e">
        <f>AND(#REF!,"AAAAAD+e7SE=")</f>
        <v>#REF!</v>
      </c>
      <c r="AI99" t="e">
        <f>AND(#REF!,"AAAAAD+e7SI=")</f>
        <v>#REF!</v>
      </c>
      <c r="AJ99" t="e">
        <f>AND(#REF!,"AAAAAD+e7SM=")</f>
        <v>#REF!</v>
      </c>
      <c r="AK99" t="e">
        <f>AND(#REF!,"AAAAAD+e7SQ=")</f>
        <v>#REF!</v>
      </c>
      <c r="AL99" t="e">
        <f>AND(#REF!,"AAAAAD+e7SU=")</f>
        <v>#REF!</v>
      </c>
      <c r="AM99" t="e">
        <f>AND(#REF!,"AAAAAD+e7SY=")</f>
        <v>#REF!</v>
      </c>
      <c r="AN99" t="e">
        <f>IF(#REF!,"AAAAAD+e7Sc=",0)</f>
        <v>#REF!</v>
      </c>
      <c r="AO99" t="e">
        <f>AND(#REF!,"AAAAAD+e7Sg=")</f>
        <v>#REF!</v>
      </c>
      <c r="AP99" t="e">
        <f>AND(#REF!,"AAAAAD+e7Sk=")</f>
        <v>#REF!</v>
      </c>
      <c r="AQ99" t="e">
        <f>AND(#REF!,"AAAAAD+e7So=")</f>
        <v>#REF!</v>
      </c>
      <c r="AR99" t="e">
        <f>AND(#REF!,"AAAAAD+e7Ss=")</f>
        <v>#REF!</v>
      </c>
      <c r="AS99" t="e">
        <f>AND(#REF!,"AAAAAD+e7Sw=")</f>
        <v>#REF!</v>
      </c>
      <c r="AT99" t="e">
        <f>AND(#REF!,"AAAAAD+e7S0=")</f>
        <v>#REF!</v>
      </c>
      <c r="AU99" t="e">
        <f>IF(#REF!,"AAAAAD+e7S4=",0)</f>
        <v>#REF!</v>
      </c>
      <c r="AV99" t="e">
        <f>AND(#REF!,"AAAAAD+e7S8=")</f>
        <v>#REF!</v>
      </c>
      <c r="AW99" t="e">
        <f>AND(#REF!,"AAAAAD+e7TA=")</f>
        <v>#REF!</v>
      </c>
      <c r="AX99" t="e">
        <f>AND(#REF!,"AAAAAD+e7TE=")</f>
        <v>#REF!</v>
      </c>
      <c r="AY99" t="e">
        <f>AND(#REF!,"AAAAAD+e7TI=")</f>
        <v>#REF!</v>
      </c>
      <c r="AZ99" t="e">
        <f>AND(#REF!,"AAAAAD+e7TM=")</f>
        <v>#REF!</v>
      </c>
      <c r="BA99" t="e">
        <f>AND(#REF!,"AAAAAD+e7TQ=")</f>
        <v>#REF!</v>
      </c>
      <c r="BB99" t="e">
        <f>IF(#REF!,"AAAAAD+e7TU=",0)</f>
        <v>#REF!</v>
      </c>
      <c r="BC99" t="e">
        <f>AND(#REF!,"AAAAAD+e7TY=")</f>
        <v>#REF!</v>
      </c>
      <c r="BD99" t="e">
        <f>AND(#REF!,"AAAAAD+e7Tc=")</f>
        <v>#REF!</v>
      </c>
      <c r="BE99" t="e">
        <f>AND(#REF!,"AAAAAD+e7Tg=")</f>
        <v>#REF!</v>
      </c>
      <c r="BF99" t="e">
        <f>AND(#REF!,"AAAAAD+e7Tk=")</f>
        <v>#REF!</v>
      </c>
      <c r="BG99" t="e">
        <f>AND(#REF!,"AAAAAD+e7To=")</f>
        <v>#REF!</v>
      </c>
      <c r="BH99" t="e">
        <f>AND(#REF!,"AAAAAD+e7Ts=")</f>
        <v>#REF!</v>
      </c>
      <c r="BI99" t="e">
        <f>IF(#REF!,"AAAAAD+e7Tw=",0)</f>
        <v>#REF!</v>
      </c>
      <c r="BJ99" t="e">
        <f>AND(#REF!,"AAAAAD+e7T0=")</f>
        <v>#REF!</v>
      </c>
      <c r="BK99" t="e">
        <f>AND(#REF!,"AAAAAD+e7T4=")</f>
        <v>#REF!</v>
      </c>
      <c r="BL99" t="e">
        <f>AND(#REF!,"AAAAAD+e7T8=")</f>
        <v>#REF!</v>
      </c>
      <c r="BM99" t="e">
        <f>AND(#REF!,"AAAAAD+e7UA=")</f>
        <v>#REF!</v>
      </c>
      <c r="BN99" t="e">
        <f>AND(#REF!,"AAAAAD+e7UE=")</f>
        <v>#REF!</v>
      </c>
      <c r="BO99" t="e">
        <f>AND(#REF!,"AAAAAD+e7UI=")</f>
        <v>#REF!</v>
      </c>
      <c r="BP99" t="e">
        <f>IF(#REF!,"AAAAAD+e7UM=",0)</f>
        <v>#REF!</v>
      </c>
      <c r="BQ99" t="e">
        <f>AND(#REF!,"AAAAAD+e7UQ=")</f>
        <v>#REF!</v>
      </c>
      <c r="BR99" t="e">
        <f>AND(#REF!,"AAAAAD+e7UU=")</f>
        <v>#REF!</v>
      </c>
      <c r="BS99" t="e">
        <f>AND(#REF!,"AAAAAD+e7UY=")</f>
        <v>#REF!</v>
      </c>
      <c r="BT99" t="e">
        <f>AND(#REF!,"AAAAAD+e7Uc=")</f>
        <v>#REF!</v>
      </c>
      <c r="BU99" t="e">
        <f>AND(#REF!,"AAAAAD+e7Ug=")</f>
        <v>#REF!</v>
      </c>
      <c r="BV99" t="e">
        <f>AND(#REF!,"AAAAAD+e7Uk=")</f>
        <v>#REF!</v>
      </c>
      <c r="BW99" t="e">
        <f>IF(#REF!,"AAAAAD+e7Uo=",0)</f>
        <v>#REF!</v>
      </c>
      <c r="BX99" t="e">
        <f>AND(#REF!,"AAAAAD+e7Us=")</f>
        <v>#REF!</v>
      </c>
      <c r="BY99" t="e">
        <f>AND(#REF!,"AAAAAD+e7Uw=")</f>
        <v>#REF!</v>
      </c>
      <c r="BZ99" t="e">
        <f>AND(#REF!,"AAAAAD+e7U0=")</f>
        <v>#REF!</v>
      </c>
      <c r="CA99" t="e">
        <f>AND(#REF!,"AAAAAD+e7U4=")</f>
        <v>#REF!</v>
      </c>
      <c r="CB99" t="e">
        <f>AND(#REF!,"AAAAAD+e7U8=")</f>
        <v>#REF!</v>
      </c>
      <c r="CC99" t="e">
        <f>AND(#REF!,"AAAAAD+e7VA=")</f>
        <v>#REF!</v>
      </c>
      <c r="CD99" t="e">
        <f>IF(#REF!,"AAAAAD+e7VE=",0)</f>
        <v>#REF!</v>
      </c>
      <c r="CE99" t="e">
        <f>AND(#REF!,"AAAAAD+e7VI=")</f>
        <v>#REF!</v>
      </c>
      <c r="CF99" t="e">
        <f>AND(#REF!,"AAAAAD+e7VM=")</f>
        <v>#REF!</v>
      </c>
      <c r="CG99" t="e">
        <f>AND(#REF!,"AAAAAD+e7VQ=")</f>
        <v>#REF!</v>
      </c>
      <c r="CH99" t="e">
        <f>AND(#REF!,"AAAAAD+e7VU=")</f>
        <v>#REF!</v>
      </c>
      <c r="CI99" t="e">
        <f>AND(#REF!,"AAAAAD+e7VY=")</f>
        <v>#REF!</v>
      </c>
      <c r="CJ99" t="e">
        <f>AND(#REF!,"AAAAAD+e7Vc=")</f>
        <v>#REF!</v>
      </c>
      <c r="CK99" t="e">
        <f>IF(#REF!,"AAAAAD+e7Vg=",0)</f>
        <v>#REF!</v>
      </c>
      <c r="CL99" t="e">
        <f>AND(#REF!,"AAAAAD+e7Vk=")</f>
        <v>#REF!</v>
      </c>
      <c r="CM99" t="e">
        <f>AND(#REF!,"AAAAAD+e7Vo=")</f>
        <v>#REF!</v>
      </c>
      <c r="CN99" t="e">
        <f>AND(#REF!,"AAAAAD+e7Vs=")</f>
        <v>#REF!</v>
      </c>
      <c r="CO99" t="e">
        <f>AND(#REF!,"AAAAAD+e7Vw=")</f>
        <v>#REF!</v>
      </c>
      <c r="CP99" t="e">
        <f>AND(#REF!,"AAAAAD+e7V0=")</f>
        <v>#REF!</v>
      </c>
      <c r="CQ99" t="e">
        <f>AND(#REF!,"AAAAAD+e7V4=")</f>
        <v>#REF!</v>
      </c>
      <c r="CR99" t="e">
        <f>IF(#REF!,"AAAAAD+e7V8=",0)</f>
        <v>#REF!</v>
      </c>
      <c r="CS99" t="e">
        <f>AND(#REF!,"AAAAAD+e7WA=")</f>
        <v>#REF!</v>
      </c>
      <c r="CT99" t="e">
        <f>AND(#REF!,"AAAAAD+e7WE=")</f>
        <v>#REF!</v>
      </c>
      <c r="CU99" t="e">
        <f>AND(#REF!,"AAAAAD+e7WI=")</f>
        <v>#REF!</v>
      </c>
      <c r="CV99" t="e">
        <f>AND(#REF!,"AAAAAD+e7WM=")</f>
        <v>#REF!</v>
      </c>
      <c r="CW99" t="e">
        <f>AND(#REF!,"AAAAAD+e7WQ=")</f>
        <v>#REF!</v>
      </c>
      <c r="CX99" t="e">
        <f>AND(#REF!,"AAAAAD+e7WU=")</f>
        <v>#REF!</v>
      </c>
      <c r="CY99" t="e">
        <f>IF(#REF!,"AAAAAD+e7WY=",0)</f>
        <v>#REF!</v>
      </c>
      <c r="CZ99" t="e">
        <f>AND(#REF!,"AAAAAD+e7Wc=")</f>
        <v>#REF!</v>
      </c>
      <c r="DA99" t="e">
        <f>AND(#REF!,"AAAAAD+e7Wg=")</f>
        <v>#REF!</v>
      </c>
      <c r="DB99" t="e">
        <f>AND(#REF!,"AAAAAD+e7Wk=")</f>
        <v>#REF!</v>
      </c>
      <c r="DC99" t="e">
        <f>AND(#REF!,"AAAAAD+e7Wo=")</f>
        <v>#REF!</v>
      </c>
      <c r="DD99" t="e">
        <f>AND(#REF!,"AAAAAD+e7Ws=")</f>
        <v>#REF!</v>
      </c>
      <c r="DE99" t="e">
        <f>AND(#REF!,"AAAAAD+e7Ww=")</f>
        <v>#REF!</v>
      </c>
      <c r="DF99" t="e">
        <f>IF(#REF!,"AAAAAD+e7W0=",0)</f>
        <v>#REF!</v>
      </c>
      <c r="DG99" t="e">
        <f>AND(#REF!,"AAAAAD+e7W4=")</f>
        <v>#REF!</v>
      </c>
      <c r="DH99" t="e">
        <f>AND(#REF!,"AAAAAD+e7W8=")</f>
        <v>#REF!</v>
      </c>
      <c r="DI99" t="e">
        <f>AND(#REF!,"AAAAAD+e7XA=")</f>
        <v>#REF!</v>
      </c>
      <c r="DJ99" t="e">
        <f>AND(#REF!,"AAAAAD+e7XE=")</f>
        <v>#REF!</v>
      </c>
      <c r="DK99" t="e">
        <f>AND(#REF!,"AAAAAD+e7XI=")</f>
        <v>#REF!</v>
      </c>
      <c r="DL99" t="e">
        <f>AND(#REF!,"AAAAAD+e7XM=")</f>
        <v>#REF!</v>
      </c>
      <c r="DM99" t="e">
        <f>IF(#REF!,"AAAAAD+e7XQ=",0)</f>
        <v>#REF!</v>
      </c>
      <c r="DN99" t="e">
        <f>AND(#REF!,"AAAAAD+e7XU=")</f>
        <v>#REF!</v>
      </c>
      <c r="DO99" t="e">
        <f>AND(#REF!,"AAAAAD+e7XY=")</f>
        <v>#REF!</v>
      </c>
      <c r="DP99" t="e">
        <f>AND(#REF!,"AAAAAD+e7Xc=")</f>
        <v>#REF!</v>
      </c>
      <c r="DQ99" t="e">
        <f>AND(#REF!,"AAAAAD+e7Xg=")</f>
        <v>#REF!</v>
      </c>
      <c r="DR99" t="e">
        <f>AND(#REF!,"AAAAAD+e7Xk=")</f>
        <v>#REF!</v>
      </c>
      <c r="DS99" t="e">
        <f>AND(#REF!,"AAAAAD+e7Xo=")</f>
        <v>#REF!</v>
      </c>
      <c r="DT99" t="e">
        <f>IF(#REF!,"AAAAAD+e7Xs=",0)</f>
        <v>#REF!</v>
      </c>
      <c r="DU99" t="e">
        <f>AND(#REF!,"AAAAAD+e7Xw=")</f>
        <v>#REF!</v>
      </c>
      <c r="DV99" t="e">
        <f>AND(#REF!,"AAAAAD+e7X0=")</f>
        <v>#REF!</v>
      </c>
      <c r="DW99" t="e">
        <f>AND(#REF!,"AAAAAD+e7X4=")</f>
        <v>#REF!</v>
      </c>
      <c r="DX99" t="e">
        <f>AND(#REF!,"AAAAAD+e7X8=")</f>
        <v>#REF!</v>
      </c>
      <c r="DY99" t="e">
        <f>AND(#REF!,"AAAAAD+e7YA=")</f>
        <v>#REF!</v>
      </c>
      <c r="DZ99" t="e">
        <f>AND(#REF!,"AAAAAD+e7YE=")</f>
        <v>#REF!</v>
      </c>
      <c r="EA99" t="e">
        <f>IF(#REF!,"AAAAAD+e7YI=",0)</f>
        <v>#REF!</v>
      </c>
      <c r="EB99" t="e">
        <f>AND(#REF!,"AAAAAD+e7YM=")</f>
        <v>#REF!</v>
      </c>
      <c r="EC99" t="e">
        <f>AND(#REF!,"AAAAAD+e7YQ=")</f>
        <v>#REF!</v>
      </c>
      <c r="ED99" t="e">
        <f>AND(#REF!,"AAAAAD+e7YU=")</f>
        <v>#REF!</v>
      </c>
      <c r="EE99" t="e">
        <f>AND(#REF!,"AAAAAD+e7YY=")</f>
        <v>#REF!</v>
      </c>
      <c r="EF99" t="e">
        <f>AND(#REF!,"AAAAAD+e7Yc=")</f>
        <v>#REF!</v>
      </c>
      <c r="EG99" t="e">
        <f>AND(#REF!,"AAAAAD+e7Yg=")</f>
        <v>#REF!</v>
      </c>
      <c r="EH99" t="e">
        <f>IF(#REF!,"AAAAAD+e7Yk=",0)</f>
        <v>#REF!</v>
      </c>
      <c r="EI99" t="e">
        <f>AND(#REF!,"AAAAAD+e7Yo=")</f>
        <v>#REF!</v>
      </c>
      <c r="EJ99" t="e">
        <f>AND(#REF!,"AAAAAD+e7Ys=")</f>
        <v>#REF!</v>
      </c>
      <c r="EK99" t="e">
        <f>AND(#REF!,"AAAAAD+e7Yw=")</f>
        <v>#REF!</v>
      </c>
      <c r="EL99" t="e">
        <f>AND(#REF!,"AAAAAD+e7Y0=")</f>
        <v>#REF!</v>
      </c>
      <c r="EM99" t="e">
        <f>AND(#REF!,"AAAAAD+e7Y4=")</f>
        <v>#REF!</v>
      </c>
      <c r="EN99" t="e">
        <f>AND(#REF!,"AAAAAD+e7Y8=")</f>
        <v>#REF!</v>
      </c>
      <c r="EO99" t="e">
        <f>IF(#REF!,"AAAAAD+e7ZA=",0)</f>
        <v>#REF!</v>
      </c>
      <c r="EP99" t="e">
        <f>AND(#REF!,"AAAAAD+e7ZE=")</f>
        <v>#REF!</v>
      </c>
      <c r="EQ99" t="e">
        <f>AND(#REF!,"AAAAAD+e7ZI=")</f>
        <v>#REF!</v>
      </c>
      <c r="ER99" t="e">
        <f>AND(#REF!,"AAAAAD+e7ZM=")</f>
        <v>#REF!</v>
      </c>
      <c r="ES99" t="e">
        <f>AND(#REF!,"AAAAAD+e7ZQ=")</f>
        <v>#REF!</v>
      </c>
      <c r="ET99" t="e">
        <f>AND(#REF!,"AAAAAD+e7ZU=")</f>
        <v>#REF!</v>
      </c>
      <c r="EU99" t="e">
        <f>AND(#REF!,"AAAAAD+e7ZY=")</f>
        <v>#REF!</v>
      </c>
      <c r="EV99" t="e">
        <f>IF(#REF!,"AAAAAD+e7Zc=",0)</f>
        <v>#REF!</v>
      </c>
      <c r="EW99" t="e">
        <f>AND(#REF!,"AAAAAD+e7Zg=")</f>
        <v>#REF!</v>
      </c>
      <c r="EX99" t="e">
        <f>AND(#REF!,"AAAAAD+e7Zk=")</f>
        <v>#REF!</v>
      </c>
      <c r="EY99" t="e">
        <f>AND(#REF!,"AAAAAD+e7Zo=")</f>
        <v>#REF!</v>
      </c>
      <c r="EZ99" t="e">
        <f>AND(#REF!,"AAAAAD+e7Zs=")</f>
        <v>#REF!</v>
      </c>
      <c r="FA99" t="e">
        <f>AND(#REF!,"AAAAAD+e7Zw=")</f>
        <v>#REF!</v>
      </c>
      <c r="FB99" t="e">
        <f>AND(#REF!,"AAAAAD+e7Z0=")</f>
        <v>#REF!</v>
      </c>
      <c r="FC99" t="e">
        <f>IF(#REF!,"AAAAAD+e7Z4=",0)</f>
        <v>#REF!</v>
      </c>
      <c r="FD99" t="e">
        <f>AND(#REF!,"AAAAAD+e7Z8=")</f>
        <v>#REF!</v>
      </c>
      <c r="FE99" t="e">
        <f>AND(#REF!,"AAAAAD+e7aA=")</f>
        <v>#REF!</v>
      </c>
      <c r="FF99" t="e">
        <f>AND(#REF!,"AAAAAD+e7aE=")</f>
        <v>#REF!</v>
      </c>
      <c r="FG99" t="e">
        <f>AND(#REF!,"AAAAAD+e7aI=")</f>
        <v>#REF!</v>
      </c>
      <c r="FH99" t="e">
        <f>AND(#REF!,"AAAAAD+e7aM=")</f>
        <v>#REF!</v>
      </c>
      <c r="FI99" t="e">
        <f>AND(#REF!,"AAAAAD+e7aQ=")</f>
        <v>#REF!</v>
      </c>
      <c r="FJ99" t="e">
        <f>IF(#REF!,"AAAAAD+e7aU=",0)</f>
        <v>#REF!</v>
      </c>
      <c r="FK99" t="e">
        <f>AND(#REF!,"AAAAAD+e7aY=")</f>
        <v>#REF!</v>
      </c>
      <c r="FL99" t="e">
        <f>AND(#REF!,"AAAAAD+e7ac=")</f>
        <v>#REF!</v>
      </c>
      <c r="FM99" t="e">
        <f>AND(#REF!,"AAAAAD+e7ag=")</f>
        <v>#REF!</v>
      </c>
      <c r="FN99" t="e">
        <f>AND(#REF!,"AAAAAD+e7ak=")</f>
        <v>#REF!</v>
      </c>
      <c r="FO99" t="e">
        <f>AND(#REF!,"AAAAAD+e7ao=")</f>
        <v>#REF!</v>
      </c>
      <c r="FP99" t="e">
        <f>AND(#REF!,"AAAAAD+e7as=")</f>
        <v>#REF!</v>
      </c>
      <c r="FQ99" t="e">
        <f>IF(#REF!,"AAAAAD+e7aw=",0)</f>
        <v>#REF!</v>
      </c>
      <c r="FR99" t="e">
        <f>AND(#REF!,"AAAAAD+e7a0=")</f>
        <v>#REF!</v>
      </c>
      <c r="FS99" t="e">
        <f>AND(#REF!,"AAAAAD+e7a4=")</f>
        <v>#REF!</v>
      </c>
      <c r="FT99" t="e">
        <f>AND(#REF!,"AAAAAD+e7a8=")</f>
        <v>#REF!</v>
      </c>
      <c r="FU99" t="e">
        <f>AND(#REF!,"AAAAAD+e7bA=")</f>
        <v>#REF!</v>
      </c>
      <c r="FV99" t="e">
        <f>AND(#REF!,"AAAAAD+e7bE=")</f>
        <v>#REF!</v>
      </c>
      <c r="FW99" t="e">
        <f>AND(#REF!,"AAAAAD+e7bI=")</f>
        <v>#REF!</v>
      </c>
      <c r="FX99" t="e">
        <f>IF(#REF!,"AAAAAD+e7bM=",0)</f>
        <v>#REF!</v>
      </c>
      <c r="FY99" t="e">
        <f>AND(#REF!,"AAAAAD+e7bQ=")</f>
        <v>#REF!</v>
      </c>
      <c r="FZ99" t="e">
        <f>AND(#REF!,"AAAAAD+e7bU=")</f>
        <v>#REF!</v>
      </c>
      <c r="GA99" t="e">
        <f>AND(#REF!,"AAAAAD+e7bY=")</f>
        <v>#REF!</v>
      </c>
      <c r="GB99" t="e">
        <f>AND(#REF!,"AAAAAD+e7bc=")</f>
        <v>#REF!</v>
      </c>
      <c r="GC99" t="e">
        <f>AND(#REF!,"AAAAAD+e7bg=")</f>
        <v>#REF!</v>
      </c>
      <c r="GD99" t="e">
        <f>AND(#REF!,"AAAAAD+e7bk=")</f>
        <v>#REF!</v>
      </c>
      <c r="GE99" t="e">
        <f>IF(#REF!,"AAAAAD+e7bo=",0)</f>
        <v>#REF!</v>
      </c>
      <c r="GF99" t="e">
        <f>AND(#REF!,"AAAAAD+e7bs=")</f>
        <v>#REF!</v>
      </c>
      <c r="GG99" t="e">
        <f>AND(#REF!,"AAAAAD+e7bw=")</f>
        <v>#REF!</v>
      </c>
      <c r="GH99" t="e">
        <f>AND(#REF!,"AAAAAD+e7b0=")</f>
        <v>#REF!</v>
      </c>
      <c r="GI99" t="e">
        <f>AND(#REF!,"AAAAAD+e7b4=")</f>
        <v>#REF!</v>
      </c>
      <c r="GJ99" t="e">
        <f>AND(#REF!,"AAAAAD+e7b8=")</f>
        <v>#REF!</v>
      </c>
      <c r="GK99" t="e">
        <f>AND(#REF!,"AAAAAD+e7cA=")</f>
        <v>#REF!</v>
      </c>
      <c r="GL99" t="e">
        <f>IF(#REF!,"AAAAAD+e7cE=",0)</f>
        <v>#REF!</v>
      </c>
      <c r="GM99" t="e">
        <f>AND(#REF!,"AAAAAD+e7cI=")</f>
        <v>#REF!</v>
      </c>
      <c r="GN99" t="e">
        <f>AND(#REF!,"AAAAAD+e7cM=")</f>
        <v>#REF!</v>
      </c>
      <c r="GO99" t="e">
        <f>AND(#REF!,"AAAAAD+e7cQ=")</f>
        <v>#REF!</v>
      </c>
      <c r="GP99" t="e">
        <f>AND(#REF!,"AAAAAD+e7cU=")</f>
        <v>#REF!</v>
      </c>
      <c r="GQ99" t="e">
        <f>AND(#REF!,"AAAAAD+e7cY=")</f>
        <v>#REF!</v>
      </c>
      <c r="GR99" t="e">
        <f>AND(#REF!,"AAAAAD+e7cc=")</f>
        <v>#REF!</v>
      </c>
      <c r="GS99" t="e">
        <f>IF(#REF!,"AAAAAD+e7cg=",0)</f>
        <v>#REF!</v>
      </c>
      <c r="GT99" t="e">
        <f>AND(#REF!,"AAAAAD+e7ck=")</f>
        <v>#REF!</v>
      </c>
      <c r="GU99" t="e">
        <f>AND(#REF!,"AAAAAD+e7co=")</f>
        <v>#REF!</v>
      </c>
      <c r="GV99" t="e">
        <f>AND(#REF!,"AAAAAD+e7cs=")</f>
        <v>#REF!</v>
      </c>
      <c r="GW99" t="e">
        <f>AND(#REF!,"AAAAAD+e7cw=")</f>
        <v>#REF!</v>
      </c>
      <c r="GX99" t="e">
        <f>AND(#REF!,"AAAAAD+e7c0=")</f>
        <v>#REF!</v>
      </c>
      <c r="GY99" t="e">
        <f>AND(#REF!,"AAAAAD+e7c4=")</f>
        <v>#REF!</v>
      </c>
      <c r="GZ99" t="e">
        <f>IF(#REF!,"AAAAAD+e7c8=",0)</f>
        <v>#REF!</v>
      </c>
      <c r="HA99" t="e">
        <f>AND(#REF!,"AAAAAD+e7dA=")</f>
        <v>#REF!</v>
      </c>
      <c r="HB99" t="e">
        <f>AND(#REF!,"AAAAAD+e7dE=")</f>
        <v>#REF!</v>
      </c>
      <c r="HC99" t="e">
        <f>AND(#REF!,"AAAAAD+e7dI=")</f>
        <v>#REF!</v>
      </c>
      <c r="HD99" t="e">
        <f>AND(#REF!,"AAAAAD+e7dM=")</f>
        <v>#REF!</v>
      </c>
      <c r="HE99" t="e">
        <f>AND(#REF!,"AAAAAD+e7dQ=")</f>
        <v>#REF!</v>
      </c>
      <c r="HF99" t="e">
        <f>AND(#REF!,"AAAAAD+e7dU=")</f>
        <v>#REF!</v>
      </c>
      <c r="HG99" t="e">
        <f>IF(#REF!,"AAAAAD+e7dY=",0)</f>
        <v>#REF!</v>
      </c>
      <c r="HH99" t="e">
        <f>AND(#REF!,"AAAAAD+e7dc=")</f>
        <v>#REF!</v>
      </c>
      <c r="HI99" t="e">
        <f>AND(#REF!,"AAAAAD+e7dg=")</f>
        <v>#REF!</v>
      </c>
      <c r="HJ99" t="e">
        <f>AND(#REF!,"AAAAAD+e7dk=")</f>
        <v>#REF!</v>
      </c>
      <c r="HK99" t="e">
        <f>AND(#REF!,"AAAAAD+e7do=")</f>
        <v>#REF!</v>
      </c>
      <c r="HL99" t="e">
        <f>AND(#REF!,"AAAAAD+e7ds=")</f>
        <v>#REF!</v>
      </c>
      <c r="HM99" t="e">
        <f>AND(#REF!,"AAAAAD+e7dw=")</f>
        <v>#REF!</v>
      </c>
      <c r="HN99" t="e">
        <f>IF(#REF!,"AAAAAD+e7d0=",0)</f>
        <v>#REF!</v>
      </c>
      <c r="HO99" t="e">
        <f>AND(#REF!,"AAAAAD+e7d4=")</f>
        <v>#REF!</v>
      </c>
      <c r="HP99" t="e">
        <f>AND(#REF!,"AAAAAD+e7d8=")</f>
        <v>#REF!</v>
      </c>
      <c r="HQ99" t="e">
        <f>AND(#REF!,"AAAAAD+e7eA=")</f>
        <v>#REF!</v>
      </c>
      <c r="HR99" t="e">
        <f>AND(#REF!,"AAAAAD+e7eE=")</f>
        <v>#REF!</v>
      </c>
      <c r="HS99" t="e">
        <f>AND(#REF!,"AAAAAD+e7eI=")</f>
        <v>#REF!</v>
      </c>
      <c r="HT99" t="e">
        <f>AND(#REF!,"AAAAAD+e7eM=")</f>
        <v>#REF!</v>
      </c>
      <c r="HU99" t="e">
        <f>IF(#REF!,"AAAAAD+e7eQ=",0)</f>
        <v>#REF!</v>
      </c>
      <c r="HV99" t="e">
        <f>AND(#REF!,"AAAAAD+e7eU=")</f>
        <v>#REF!</v>
      </c>
      <c r="HW99" t="e">
        <f>AND(#REF!,"AAAAAD+e7eY=")</f>
        <v>#REF!</v>
      </c>
      <c r="HX99" t="e">
        <f>AND(#REF!,"AAAAAD+e7ec=")</f>
        <v>#REF!</v>
      </c>
      <c r="HY99" t="e">
        <f>AND(#REF!,"AAAAAD+e7eg=")</f>
        <v>#REF!</v>
      </c>
      <c r="HZ99" t="e">
        <f>AND(#REF!,"AAAAAD+e7ek=")</f>
        <v>#REF!</v>
      </c>
      <c r="IA99" t="e">
        <f>AND(#REF!,"AAAAAD+e7eo=")</f>
        <v>#REF!</v>
      </c>
      <c r="IB99" t="e">
        <f>IF(#REF!,"AAAAAD+e7es=",0)</f>
        <v>#REF!</v>
      </c>
      <c r="IC99" t="e">
        <f>AND(#REF!,"AAAAAD+e7ew=")</f>
        <v>#REF!</v>
      </c>
      <c r="ID99" t="e">
        <f>AND(#REF!,"AAAAAD+e7e0=")</f>
        <v>#REF!</v>
      </c>
      <c r="IE99" t="e">
        <f>AND(#REF!,"AAAAAD+e7e4=")</f>
        <v>#REF!</v>
      </c>
      <c r="IF99" t="e">
        <f>AND(#REF!,"AAAAAD+e7e8=")</f>
        <v>#REF!</v>
      </c>
      <c r="IG99" t="e">
        <f>AND(#REF!,"AAAAAD+e7fA=")</f>
        <v>#REF!</v>
      </c>
      <c r="IH99" t="e">
        <f>AND(#REF!,"AAAAAD+e7fE=")</f>
        <v>#REF!</v>
      </c>
      <c r="II99" t="e">
        <f>IF(#REF!,"AAAAAD+e7fI=",0)</f>
        <v>#REF!</v>
      </c>
      <c r="IJ99" t="e">
        <f>AND(#REF!,"AAAAAD+e7fM=")</f>
        <v>#REF!</v>
      </c>
      <c r="IK99" t="e">
        <f>AND(#REF!,"AAAAAD+e7fQ=")</f>
        <v>#REF!</v>
      </c>
      <c r="IL99" t="e">
        <f>AND(#REF!,"AAAAAD+e7fU=")</f>
        <v>#REF!</v>
      </c>
      <c r="IM99" t="e">
        <f>AND(#REF!,"AAAAAD+e7fY=")</f>
        <v>#REF!</v>
      </c>
      <c r="IN99" t="e">
        <f>AND(#REF!,"AAAAAD+e7fc=")</f>
        <v>#REF!</v>
      </c>
      <c r="IO99" t="e">
        <f>AND(#REF!,"AAAAAD+e7fg=")</f>
        <v>#REF!</v>
      </c>
      <c r="IP99" t="e">
        <f>IF(#REF!,"AAAAAD+e7fk=",0)</f>
        <v>#REF!</v>
      </c>
      <c r="IQ99" t="e">
        <f>AND(#REF!,"AAAAAD+e7fo=")</f>
        <v>#REF!</v>
      </c>
      <c r="IR99" t="e">
        <f>AND(#REF!,"AAAAAD+e7fs=")</f>
        <v>#REF!</v>
      </c>
      <c r="IS99" t="e">
        <f>AND(#REF!,"AAAAAD+e7fw=")</f>
        <v>#REF!</v>
      </c>
      <c r="IT99" t="e">
        <f>AND(#REF!,"AAAAAD+e7f0=")</f>
        <v>#REF!</v>
      </c>
      <c r="IU99" t="e">
        <f>AND(#REF!,"AAAAAD+e7f4=")</f>
        <v>#REF!</v>
      </c>
      <c r="IV99" t="e">
        <f>AND(#REF!,"AAAAAD+e7f8=")</f>
        <v>#REF!</v>
      </c>
    </row>
    <row r="100" spans="1:256" x14ac:dyDescent="0.15">
      <c r="A100" t="e">
        <f>IF(#REF!,"AAAAAG6UngA=",0)</f>
        <v>#REF!</v>
      </c>
      <c r="B100" t="e">
        <f>AND(#REF!,"AAAAAG6UngE=")</f>
        <v>#REF!</v>
      </c>
      <c r="C100" t="e">
        <f>AND(#REF!,"AAAAAG6UngI=")</f>
        <v>#REF!</v>
      </c>
      <c r="D100" t="e">
        <f>AND(#REF!,"AAAAAG6UngM=")</f>
        <v>#REF!</v>
      </c>
      <c r="E100" t="e">
        <f>AND(#REF!,"AAAAAG6UngQ=")</f>
        <v>#REF!</v>
      </c>
      <c r="F100" t="e">
        <f>AND(#REF!,"AAAAAG6UngU=")</f>
        <v>#REF!</v>
      </c>
      <c r="G100" t="e">
        <f>AND(#REF!,"AAAAAG6UngY=")</f>
        <v>#REF!</v>
      </c>
      <c r="H100" t="e">
        <f>IF(#REF!,"AAAAAG6Ungc=",0)</f>
        <v>#REF!</v>
      </c>
      <c r="I100" t="e">
        <f>AND(#REF!,"AAAAAG6Ungg=")</f>
        <v>#REF!</v>
      </c>
      <c r="J100" t="e">
        <f>AND(#REF!,"AAAAAG6Ungk=")</f>
        <v>#REF!</v>
      </c>
      <c r="K100" t="e">
        <f>AND(#REF!,"AAAAAG6Ungo=")</f>
        <v>#REF!</v>
      </c>
      <c r="L100" t="e">
        <f>AND(#REF!,"AAAAAG6Ungs=")</f>
        <v>#REF!</v>
      </c>
      <c r="M100" t="e">
        <f>AND(#REF!,"AAAAAG6Ungw=")</f>
        <v>#REF!</v>
      </c>
      <c r="N100" t="e">
        <f>AND(#REF!,"AAAAAG6Ung0=")</f>
        <v>#REF!</v>
      </c>
      <c r="O100" t="e">
        <f>IF(#REF!,"AAAAAG6Ung4=",0)</f>
        <v>#REF!</v>
      </c>
      <c r="P100" t="e">
        <f>AND(#REF!,"AAAAAG6Ung8=")</f>
        <v>#REF!</v>
      </c>
      <c r="Q100" t="e">
        <f>AND(#REF!,"AAAAAG6UnhA=")</f>
        <v>#REF!</v>
      </c>
      <c r="R100" t="e">
        <f>AND(#REF!,"AAAAAG6UnhE=")</f>
        <v>#REF!</v>
      </c>
      <c r="S100" t="e">
        <f>AND(#REF!,"AAAAAG6UnhI=")</f>
        <v>#REF!</v>
      </c>
      <c r="T100" t="e">
        <f>AND(#REF!,"AAAAAG6UnhM=")</f>
        <v>#REF!</v>
      </c>
      <c r="U100" t="e">
        <f>AND(#REF!,"AAAAAG6UnhQ=")</f>
        <v>#REF!</v>
      </c>
      <c r="V100" t="e">
        <f>IF(#REF!,"AAAAAG6UnhU=",0)</f>
        <v>#REF!</v>
      </c>
      <c r="W100" t="e">
        <f>AND(#REF!,"AAAAAG6UnhY=")</f>
        <v>#REF!</v>
      </c>
      <c r="X100" t="e">
        <f>AND(#REF!,"AAAAAG6Unhc=")</f>
        <v>#REF!</v>
      </c>
      <c r="Y100" t="e">
        <f>AND(#REF!,"AAAAAG6Unhg=")</f>
        <v>#REF!</v>
      </c>
      <c r="Z100" t="e">
        <f>AND(#REF!,"AAAAAG6Unhk=")</f>
        <v>#REF!</v>
      </c>
      <c r="AA100" t="e">
        <f>AND(#REF!,"AAAAAG6Unho=")</f>
        <v>#REF!</v>
      </c>
      <c r="AB100" t="e">
        <f>AND(#REF!,"AAAAAG6Unhs=")</f>
        <v>#REF!</v>
      </c>
      <c r="AC100" t="e">
        <f>IF(#REF!,"AAAAAG6Unhw=",0)</f>
        <v>#REF!</v>
      </c>
      <c r="AD100" t="e">
        <f>AND(#REF!,"AAAAAG6Unh0=")</f>
        <v>#REF!</v>
      </c>
      <c r="AE100" t="e">
        <f>AND(#REF!,"AAAAAG6Unh4=")</f>
        <v>#REF!</v>
      </c>
      <c r="AF100" t="e">
        <f>AND(#REF!,"AAAAAG6Unh8=")</f>
        <v>#REF!</v>
      </c>
      <c r="AG100" t="e">
        <f>AND(#REF!,"AAAAAG6UniA=")</f>
        <v>#REF!</v>
      </c>
      <c r="AH100" t="e">
        <f>AND(#REF!,"AAAAAG6UniE=")</f>
        <v>#REF!</v>
      </c>
      <c r="AI100" t="e">
        <f>AND(#REF!,"AAAAAG6UniI=")</f>
        <v>#REF!</v>
      </c>
      <c r="AJ100" t="e">
        <f>IF(#REF!,"AAAAAG6UniM=",0)</f>
        <v>#REF!</v>
      </c>
      <c r="AK100" t="e">
        <f>AND(#REF!,"AAAAAG6UniQ=")</f>
        <v>#REF!</v>
      </c>
      <c r="AL100" t="e">
        <f>AND(#REF!,"AAAAAG6UniU=")</f>
        <v>#REF!</v>
      </c>
      <c r="AM100" t="e">
        <f>AND(#REF!,"AAAAAG6UniY=")</f>
        <v>#REF!</v>
      </c>
      <c r="AN100" t="e">
        <f>AND(#REF!,"AAAAAG6Unic=")</f>
        <v>#REF!</v>
      </c>
      <c r="AO100" t="e">
        <f>AND(#REF!,"AAAAAG6Unig=")</f>
        <v>#REF!</v>
      </c>
      <c r="AP100" t="e">
        <f>AND(#REF!,"AAAAAG6Unik=")</f>
        <v>#REF!</v>
      </c>
      <c r="AQ100" t="e">
        <f>IF(#REF!,"AAAAAG6Unio=",0)</f>
        <v>#REF!</v>
      </c>
      <c r="AR100" t="e">
        <f>IF(#REF!,"AAAAAG6Unis=",0)</f>
        <v>#REF!</v>
      </c>
      <c r="AS100" t="e">
        <f>IF(#REF!,"AAAAAG6Uniw=",0)</f>
        <v>#REF!</v>
      </c>
      <c r="AT100" t="e">
        <f>IF(#REF!,"AAAAAG6Uni0=",0)</f>
        <v>#REF!</v>
      </c>
      <c r="AU100" t="e">
        <f>IF(#REF!,"AAAAAG6Uni4=",0)</f>
        <v>#REF!</v>
      </c>
      <c r="AV100" t="e">
        <f>IF(#REF!,"AAAAAG6Uni8=",0)</f>
        <v>#REF!</v>
      </c>
      <c r="AW100" t="e">
        <f>IF(#REF!,"AAAAAG6UnjA=",0)</f>
        <v>#REF!</v>
      </c>
      <c r="AX100" t="e">
        <f>AND(#REF!,"AAAAAG6UnjE=")</f>
        <v>#REF!</v>
      </c>
      <c r="AY100" t="e">
        <f>AND(#REF!,"AAAAAG6UnjI=")</f>
        <v>#REF!</v>
      </c>
      <c r="AZ100" t="e">
        <f>AND(#REF!,"AAAAAG6UnjM=")</f>
        <v>#REF!</v>
      </c>
      <c r="BA100" t="e">
        <f>AND(#REF!,"AAAAAG6UnjQ=")</f>
        <v>#REF!</v>
      </c>
      <c r="BB100" t="e">
        <f>AND(#REF!,"AAAAAG6UnjU=")</f>
        <v>#REF!</v>
      </c>
      <c r="BC100" t="e">
        <f>AND(#REF!,"AAAAAG6UnjY=")</f>
        <v>#REF!</v>
      </c>
      <c r="BD100" t="e">
        <f>IF(#REF!,"AAAAAG6Unjc=",0)</f>
        <v>#REF!</v>
      </c>
      <c r="BE100" t="e">
        <f>AND(#REF!,"AAAAAG6Unjg=")</f>
        <v>#REF!</v>
      </c>
      <c r="BF100" t="e">
        <f>AND(#REF!,"AAAAAG6Unjk=")</f>
        <v>#REF!</v>
      </c>
      <c r="BG100" t="e">
        <f>AND(#REF!,"AAAAAG6Unjo=")</f>
        <v>#REF!</v>
      </c>
      <c r="BH100" t="e">
        <f>AND(#REF!,"AAAAAG6Unjs=")</f>
        <v>#REF!</v>
      </c>
      <c r="BI100" t="e">
        <f>AND(#REF!,"AAAAAG6Unjw=")</f>
        <v>#REF!</v>
      </c>
      <c r="BJ100" t="e">
        <f>AND(#REF!,"AAAAAG6Unj0=")</f>
        <v>#REF!</v>
      </c>
      <c r="BK100" t="e">
        <f>IF(#REF!,"AAAAAG6Unj4=",0)</f>
        <v>#REF!</v>
      </c>
      <c r="BL100" t="e">
        <f>AND(#REF!,"AAAAAG6Unj8=")</f>
        <v>#REF!</v>
      </c>
      <c r="BM100" t="e">
        <f>AND(#REF!,"AAAAAG6UnkA=")</f>
        <v>#REF!</v>
      </c>
      <c r="BN100" t="e">
        <f>AND(#REF!,"AAAAAG6UnkE=")</f>
        <v>#REF!</v>
      </c>
      <c r="BO100" t="e">
        <f>AND(#REF!,"AAAAAG6UnkI=")</f>
        <v>#REF!</v>
      </c>
      <c r="BP100" t="e">
        <f>AND(#REF!,"AAAAAG6UnkM=")</f>
        <v>#REF!</v>
      </c>
      <c r="BQ100" t="e">
        <f>AND(#REF!,"AAAAAG6UnkQ=")</f>
        <v>#REF!</v>
      </c>
      <c r="BR100" t="e">
        <f>IF(#REF!,"AAAAAG6UnkU=",0)</f>
        <v>#REF!</v>
      </c>
      <c r="BS100" t="e">
        <f>AND(#REF!,"AAAAAG6UnkY=")</f>
        <v>#REF!</v>
      </c>
      <c r="BT100" t="e">
        <f>AND(#REF!,"AAAAAG6Unkc=")</f>
        <v>#REF!</v>
      </c>
      <c r="BU100" t="e">
        <f>AND(#REF!,"AAAAAG6Unkg=")</f>
        <v>#REF!</v>
      </c>
      <c r="BV100" t="e">
        <f>AND(#REF!,"AAAAAG6Unkk=")</f>
        <v>#REF!</v>
      </c>
      <c r="BW100" t="e">
        <f>AND(#REF!,"AAAAAG6Unko=")</f>
        <v>#REF!</v>
      </c>
      <c r="BX100" t="e">
        <f>AND(#REF!,"AAAAAG6Unks=")</f>
        <v>#REF!</v>
      </c>
      <c r="BY100" t="e">
        <f>IF(#REF!,"AAAAAG6Unkw=",0)</f>
        <v>#REF!</v>
      </c>
      <c r="BZ100" t="e">
        <f>AND(#REF!,"AAAAAG6Unk0=")</f>
        <v>#REF!</v>
      </c>
      <c r="CA100" t="e">
        <f>AND(#REF!,"AAAAAG6Unk4=")</f>
        <v>#REF!</v>
      </c>
      <c r="CB100" t="e">
        <f>AND(#REF!,"AAAAAG6Unk8=")</f>
        <v>#REF!</v>
      </c>
      <c r="CC100" t="e">
        <f>AND(#REF!,"AAAAAG6UnlA=")</f>
        <v>#REF!</v>
      </c>
      <c r="CD100" t="e">
        <f>AND(#REF!,"AAAAAG6UnlE=")</f>
        <v>#REF!</v>
      </c>
      <c r="CE100" t="e">
        <f>AND(#REF!,"AAAAAG6UnlI=")</f>
        <v>#REF!</v>
      </c>
      <c r="CF100" t="e">
        <f>IF(#REF!,"AAAAAG6UnlM=",0)</f>
        <v>#REF!</v>
      </c>
      <c r="CG100" t="e">
        <f>AND(#REF!,"AAAAAG6UnlQ=")</f>
        <v>#REF!</v>
      </c>
      <c r="CH100" t="e">
        <f>AND(#REF!,"AAAAAG6UnlU=")</f>
        <v>#REF!</v>
      </c>
      <c r="CI100" t="e">
        <f>AND(#REF!,"AAAAAG6UnlY=")</f>
        <v>#REF!</v>
      </c>
      <c r="CJ100" t="e">
        <f>AND(#REF!,"AAAAAG6Unlc=")</f>
        <v>#REF!</v>
      </c>
      <c r="CK100" t="e">
        <f>AND(#REF!,"AAAAAG6Unlg=")</f>
        <v>#REF!</v>
      </c>
      <c r="CL100" t="e">
        <f>AND(#REF!,"AAAAAG6Unlk=")</f>
        <v>#REF!</v>
      </c>
      <c r="CM100" t="e">
        <f>IF(#REF!,"AAAAAG6Unlo=",0)</f>
        <v>#REF!</v>
      </c>
      <c r="CN100" t="e">
        <f>AND(#REF!,"AAAAAG6Unls=")</f>
        <v>#REF!</v>
      </c>
      <c r="CO100" t="e">
        <f>AND(#REF!,"AAAAAG6Unlw=")</f>
        <v>#REF!</v>
      </c>
      <c r="CP100" t="e">
        <f>AND(#REF!,"AAAAAG6Unl0=")</f>
        <v>#REF!</v>
      </c>
      <c r="CQ100" t="e">
        <f>AND(#REF!,"AAAAAG6Unl4=")</f>
        <v>#REF!</v>
      </c>
      <c r="CR100" t="e">
        <f>AND(#REF!,"AAAAAG6Unl8=")</f>
        <v>#REF!</v>
      </c>
      <c r="CS100" t="e">
        <f>AND(#REF!,"AAAAAG6UnmA=")</f>
        <v>#REF!</v>
      </c>
      <c r="CT100" t="e">
        <f>IF(#REF!,"AAAAAG6UnmE=",0)</f>
        <v>#REF!</v>
      </c>
      <c r="CU100" t="e">
        <f>AND(#REF!,"AAAAAG6UnmI=")</f>
        <v>#REF!</v>
      </c>
      <c r="CV100" t="e">
        <f>AND(#REF!,"AAAAAG6UnmM=")</f>
        <v>#REF!</v>
      </c>
      <c r="CW100" t="e">
        <f>AND(#REF!,"AAAAAG6UnmQ=")</f>
        <v>#REF!</v>
      </c>
      <c r="CX100" t="e">
        <f>AND(#REF!,"AAAAAG6UnmU=")</f>
        <v>#REF!</v>
      </c>
      <c r="CY100" t="e">
        <f>AND(#REF!,"AAAAAG6UnmY=")</f>
        <v>#REF!</v>
      </c>
      <c r="CZ100" t="e">
        <f>AND(#REF!,"AAAAAG6Unmc=")</f>
        <v>#REF!</v>
      </c>
      <c r="DA100" t="e">
        <f>IF(#REF!,"AAAAAG6Unmg=",0)</f>
        <v>#REF!</v>
      </c>
      <c r="DB100" t="e">
        <f>AND(#REF!,"AAAAAG6Unmk=")</f>
        <v>#REF!</v>
      </c>
      <c r="DC100" t="e">
        <f>AND(#REF!,"AAAAAG6Unmo=")</f>
        <v>#REF!</v>
      </c>
      <c r="DD100" t="e">
        <f>AND(#REF!,"AAAAAG6Unms=")</f>
        <v>#REF!</v>
      </c>
      <c r="DE100" t="e">
        <f>AND(#REF!,"AAAAAG6Unmw=")</f>
        <v>#REF!</v>
      </c>
      <c r="DF100" t="e">
        <f>AND(#REF!,"AAAAAG6Unm0=")</f>
        <v>#REF!</v>
      </c>
      <c r="DG100" t="e">
        <f>AND(#REF!,"AAAAAG6Unm4=")</f>
        <v>#REF!</v>
      </c>
      <c r="DH100" t="e">
        <f>IF(#REF!,"AAAAAG6Unm8=",0)</f>
        <v>#REF!</v>
      </c>
      <c r="DI100" t="e">
        <f>AND(#REF!,"AAAAAG6UnnA=")</f>
        <v>#REF!</v>
      </c>
      <c r="DJ100" t="e">
        <f>AND(#REF!,"AAAAAG6UnnE=")</f>
        <v>#REF!</v>
      </c>
      <c r="DK100" t="e">
        <f>AND(#REF!,"AAAAAG6UnnI=")</f>
        <v>#REF!</v>
      </c>
      <c r="DL100" t="e">
        <f>AND(#REF!,"AAAAAG6UnnM=")</f>
        <v>#REF!</v>
      </c>
      <c r="DM100" t="e">
        <f>AND(#REF!,"AAAAAG6UnnQ=")</f>
        <v>#REF!</v>
      </c>
      <c r="DN100" t="e">
        <f>AND(#REF!,"AAAAAG6UnnU=")</f>
        <v>#REF!</v>
      </c>
      <c r="DO100" t="e">
        <f>IF(#REF!,"AAAAAG6UnnY=",0)</f>
        <v>#REF!</v>
      </c>
      <c r="DP100" t="e">
        <f>AND(#REF!,"AAAAAG6Unnc=")</f>
        <v>#REF!</v>
      </c>
      <c r="DQ100" t="e">
        <f>AND(#REF!,"AAAAAG6Unng=")</f>
        <v>#REF!</v>
      </c>
      <c r="DR100" t="e">
        <f>AND(#REF!,"AAAAAG6Unnk=")</f>
        <v>#REF!</v>
      </c>
      <c r="DS100" t="e">
        <f>AND(#REF!,"AAAAAG6Unno=")</f>
        <v>#REF!</v>
      </c>
      <c r="DT100" t="e">
        <f>AND(#REF!,"AAAAAG6Unns=")</f>
        <v>#REF!</v>
      </c>
      <c r="DU100" t="e">
        <f>AND(#REF!,"AAAAAG6Unnw=")</f>
        <v>#REF!</v>
      </c>
      <c r="DV100" t="e">
        <f>IF(#REF!,"AAAAAG6Unn0=",0)</f>
        <v>#REF!</v>
      </c>
      <c r="DW100" t="e">
        <f>AND(#REF!,"AAAAAG6Unn4=")</f>
        <v>#REF!</v>
      </c>
      <c r="DX100" t="e">
        <f>AND(#REF!,"AAAAAG6Unn8=")</f>
        <v>#REF!</v>
      </c>
      <c r="DY100" t="e">
        <f>AND(#REF!,"AAAAAG6UnoA=")</f>
        <v>#REF!</v>
      </c>
      <c r="DZ100" t="e">
        <f>AND(#REF!,"AAAAAG6UnoE=")</f>
        <v>#REF!</v>
      </c>
      <c r="EA100" t="e">
        <f>AND(#REF!,"AAAAAG6UnoI=")</f>
        <v>#REF!</v>
      </c>
      <c r="EB100" t="e">
        <f>AND(#REF!,"AAAAAG6UnoM=")</f>
        <v>#REF!</v>
      </c>
      <c r="EC100" t="e">
        <f>IF(#REF!,"AAAAAG6UnoQ=",0)</f>
        <v>#REF!</v>
      </c>
      <c r="ED100" t="e">
        <f>AND(#REF!,"AAAAAG6UnoU=")</f>
        <v>#REF!</v>
      </c>
      <c r="EE100" t="e">
        <f>AND(#REF!,"AAAAAG6UnoY=")</f>
        <v>#REF!</v>
      </c>
      <c r="EF100" t="e">
        <f>AND(#REF!,"AAAAAG6Unoc=")</f>
        <v>#REF!</v>
      </c>
      <c r="EG100" t="e">
        <f>AND(#REF!,"AAAAAG6Unog=")</f>
        <v>#REF!</v>
      </c>
      <c r="EH100" t="e">
        <f>AND(#REF!,"AAAAAG6Unok=")</f>
        <v>#REF!</v>
      </c>
      <c r="EI100" t="e">
        <f>AND(#REF!,"AAAAAG6Unoo=")</f>
        <v>#REF!</v>
      </c>
      <c r="EJ100" t="e">
        <f>IF(#REF!,"AAAAAG6Unos=",0)</f>
        <v>#REF!</v>
      </c>
      <c r="EK100" t="e">
        <f>AND(#REF!,"AAAAAG6Unow=")</f>
        <v>#REF!</v>
      </c>
      <c r="EL100" t="e">
        <f>AND(#REF!,"AAAAAG6Uno0=")</f>
        <v>#REF!</v>
      </c>
      <c r="EM100" t="e">
        <f>AND(#REF!,"AAAAAG6Uno4=")</f>
        <v>#REF!</v>
      </c>
      <c r="EN100" t="e">
        <f>AND(#REF!,"AAAAAG6Uno8=")</f>
        <v>#REF!</v>
      </c>
      <c r="EO100" t="e">
        <f>AND(#REF!,"AAAAAG6UnpA=")</f>
        <v>#REF!</v>
      </c>
      <c r="EP100" t="e">
        <f>AND(#REF!,"AAAAAG6UnpE=")</f>
        <v>#REF!</v>
      </c>
      <c r="EQ100" t="e">
        <f>IF(#REF!,"AAAAAG6UnpI=",0)</f>
        <v>#REF!</v>
      </c>
      <c r="ER100" t="e">
        <f>AND(#REF!,"AAAAAG6UnpM=")</f>
        <v>#REF!</v>
      </c>
      <c r="ES100" t="e">
        <f>AND(#REF!,"AAAAAG6UnpQ=")</f>
        <v>#REF!</v>
      </c>
      <c r="ET100" t="e">
        <f>AND(#REF!,"AAAAAG6UnpU=")</f>
        <v>#REF!</v>
      </c>
      <c r="EU100" t="e">
        <f>AND(#REF!,"AAAAAG6UnpY=")</f>
        <v>#REF!</v>
      </c>
      <c r="EV100" t="e">
        <f>AND(#REF!,"AAAAAG6Unpc=")</f>
        <v>#REF!</v>
      </c>
      <c r="EW100" t="e">
        <f>AND(#REF!,"AAAAAG6Unpg=")</f>
        <v>#REF!</v>
      </c>
      <c r="EX100" t="e">
        <f>IF(#REF!,"AAAAAG6Unpk=",0)</f>
        <v>#REF!</v>
      </c>
      <c r="EY100" t="e">
        <f>AND(#REF!,"AAAAAG6Unpo=")</f>
        <v>#REF!</v>
      </c>
      <c r="EZ100" t="e">
        <f>AND(#REF!,"AAAAAG6Unps=")</f>
        <v>#REF!</v>
      </c>
      <c r="FA100" t="e">
        <f>AND(#REF!,"AAAAAG6Unpw=")</f>
        <v>#REF!</v>
      </c>
      <c r="FB100" t="e">
        <f>AND(#REF!,"AAAAAG6Unp0=")</f>
        <v>#REF!</v>
      </c>
      <c r="FC100" t="e">
        <f>AND(#REF!,"AAAAAG6Unp4=")</f>
        <v>#REF!</v>
      </c>
      <c r="FD100" t="e">
        <f>AND(#REF!,"AAAAAG6Unp8=")</f>
        <v>#REF!</v>
      </c>
      <c r="FE100" t="e">
        <f>IF(#REF!,"AAAAAG6UnqA=",0)</f>
        <v>#REF!</v>
      </c>
      <c r="FF100" t="e">
        <f>AND(#REF!,"AAAAAG6UnqE=")</f>
        <v>#REF!</v>
      </c>
      <c r="FG100" t="e">
        <f>AND(#REF!,"AAAAAG6UnqI=")</f>
        <v>#REF!</v>
      </c>
      <c r="FH100" t="e">
        <f>AND(#REF!,"AAAAAG6UnqM=")</f>
        <v>#REF!</v>
      </c>
      <c r="FI100" t="e">
        <f>AND(#REF!,"AAAAAG6UnqQ=")</f>
        <v>#REF!</v>
      </c>
      <c r="FJ100" t="e">
        <f>AND(#REF!,"AAAAAG6UnqU=")</f>
        <v>#REF!</v>
      </c>
      <c r="FK100" t="e">
        <f>AND(#REF!,"AAAAAG6UnqY=")</f>
        <v>#REF!</v>
      </c>
      <c r="FL100" t="e">
        <f>IF(#REF!,"AAAAAG6Unqc=",0)</f>
        <v>#REF!</v>
      </c>
      <c r="FM100" t="e">
        <f>AND(#REF!,"AAAAAG6Unqg=")</f>
        <v>#REF!</v>
      </c>
      <c r="FN100" t="e">
        <f>AND(#REF!,"AAAAAG6Unqk=")</f>
        <v>#REF!</v>
      </c>
      <c r="FO100" t="e">
        <f>AND(#REF!,"AAAAAG6Unqo=")</f>
        <v>#REF!</v>
      </c>
      <c r="FP100" t="e">
        <f>AND(#REF!,"AAAAAG6Unqs=")</f>
        <v>#REF!</v>
      </c>
      <c r="FQ100" t="e">
        <f>AND(#REF!,"AAAAAG6Unqw=")</f>
        <v>#REF!</v>
      </c>
      <c r="FR100" t="e">
        <f>AND(#REF!,"AAAAAG6Unq0=")</f>
        <v>#REF!</v>
      </c>
      <c r="FS100" t="e">
        <f>IF(#REF!,"AAAAAG6Unq4=",0)</f>
        <v>#REF!</v>
      </c>
      <c r="FT100" t="e">
        <f>AND(#REF!,"AAAAAG6Unq8=")</f>
        <v>#REF!</v>
      </c>
      <c r="FU100" t="e">
        <f>AND(#REF!,"AAAAAG6UnrA=")</f>
        <v>#REF!</v>
      </c>
      <c r="FV100" t="e">
        <f>AND(#REF!,"AAAAAG6UnrE=")</f>
        <v>#REF!</v>
      </c>
      <c r="FW100" t="e">
        <f>AND(#REF!,"AAAAAG6UnrI=")</f>
        <v>#REF!</v>
      </c>
      <c r="FX100" t="e">
        <f>AND(#REF!,"AAAAAG6UnrM=")</f>
        <v>#REF!</v>
      </c>
      <c r="FY100" t="e">
        <f>AND(#REF!,"AAAAAG6UnrQ=")</f>
        <v>#REF!</v>
      </c>
      <c r="FZ100" t="e">
        <f>IF(#REF!,"AAAAAG6UnrU=",0)</f>
        <v>#REF!</v>
      </c>
      <c r="GA100" t="e">
        <f>AND(#REF!,"AAAAAG6UnrY=")</f>
        <v>#REF!</v>
      </c>
      <c r="GB100" t="e">
        <f>AND(#REF!,"AAAAAG6Unrc=")</f>
        <v>#REF!</v>
      </c>
      <c r="GC100" t="e">
        <f>AND(#REF!,"AAAAAG6Unrg=")</f>
        <v>#REF!</v>
      </c>
      <c r="GD100" t="e">
        <f>AND(#REF!,"AAAAAG6Unrk=")</f>
        <v>#REF!</v>
      </c>
      <c r="GE100" t="e">
        <f>AND(#REF!,"AAAAAG6Unro=")</f>
        <v>#REF!</v>
      </c>
      <c r="GF100" t="e">
        <f>AND(#REF!,"AAAAAG6Unrs=")</f>
        <v>#REF!</v>
      </c>
      <c r="GG100" t="e">
        <f>IF(#REF!,"AAAAAG6Unrw=",0)</f>
        <v>#REF!</v>
      </c>
      <c r="GH100" t="e">
        <f>AND(#REF!,"AAAAAG6Unr0=")</f>
        <v>#REF!</v>
      </c>
      <c r="GI100" t="e">
        <f>AND(#REF!,"AAAAAG6Unr4=")</f>
        <v>#REF!</v>
      </c>
      <c r="GJ100" t="e">
        <f>AND(#REF!,"AAAAAG6Unr8=")</f>
        <v>#REF!</v>
      </c>
      <c r="GK100" t="e">
        <f>AND(#REF!,"AAAAAG6UnsA=")</f>
        <v>#REF!</v>
      </c>
      <c r="GL100" t="e">
        <f>AND(#REF!,"AAAAAG6UnsE=")</f>
        <v>#REF!</v>
      </c>
      <c r="GM100" t="e">
        <f>AND(#REF!,"AAAAAG6UnsI=")</f>
        <v>#REF!</v>
      </c>
      <c r="GN100" t="e">
        <f>IF(#REF!,"AAAAAG6UnsM=",0)</f>
        <v>#REF!</v>
      </c>
      <c r="GO100" t="e">
        <f>AND(#REF!,"AAAAAG6UnsQ=")</f>
        <v>#REF!</v>
      </c>
      <c r="GP100" t="e">
        <f>AND(#REF!,"AAAAAG6UnsU=")</f>
        <v>#REF!</v>
      </c>
      <c r="GQ100" t="e">
        <f>AND(#REF!,"AAAAAG6UnsY=")</f>
        <v>#REF!</v>
      </c>
      <c r="GR100" t="e">
        <f>AND(#REF!,"AAAAAG6Unsc=")</f>
        <v>#REF!</v>
      </c>
      <c r="GS100" t="e">
        <f>AND(#REF!,"AAAAAG6Unsg=")</f>
        <v>#REF!</v>
      </c>
      <c r="GT100" t="e">
        <f>AND(#REF!,"AAAAAG6Unsk=")</f>
        <v>#REF!</v>
      </c>
      <c r="GU100" t="e">
        <f>IF(#REF!,"AAAAAG6Unso=",0)</f>
        <v>#REF!</v>
      </c>
      <c r="GV100" t="e">
        <f>AND(#REF!,"AAAAAG6Unss=")</f>
        <v>#REF!</v>
      </c>
      <c r="GW100" t="e">
        <f>AND(#REF!,"AAAAAG6Unsw=")</f>
        <v>#REF!</v>
      </c>
      <c r="GX100" t="e">
        <f>AND(#REF!,"AAAAAG6Uns0=")</f>
        <v>#REF!</v>
      </c>
      <c r="GY100" t="e">
        <f>AND(#REF!,"AAAAAG6Uns4=")</f>
        <v>#REF!</v>
      </c>
      <c r="GZ100" t="e">
        <f>AND(#REF!,"AAAAAG6Uns8=")</f>
        <v>#REF!</v>
      </c>
      <c r="HA100" t="e">
        <f>AND(#REF!,"AAAAAG6UntA=")</f>
        <v>#REF!</v>
      </c>
      <c r="HB100" t="e">
        <f>IF(#REF!,"AAAAAG6UntE=",0)</f>
        <v>#REF!</v>
      </c>
      <c r="HC100" t="e">
        <f>AND(#REF!,"AAAAAG6UntI=")</f>
        <v>#REF!</v>
      </c>
      <c r="HD100" t="e">
        <f>AND(#REF!,"AAAAAG6UntM=")</f>
        <v>#REF!</v>
      </c>
      <c r="HE100" t="e">
        <f>AND(#REF!,"AAAAAG6UntQ=")</f>
        <v>#REF!</v>
      </c>
      <c r="HF100" t="e">
        <f>AND(#REF!,"AAAAAG6UntU=")</f>
        <v>#REF!</v>
      </c>
      <c r="HG100" t="e">
        <f>AND(#REF!,"AAAAAG6UntY=")</f>
        <v>#REF!</v>
      </c>
      <c r="HH100" t="e">
        <f>AND(#REF!,"AAAAAG6Untc=")</f>
        <v>#REF!</v>
      </c>
      <c r="HI100" t="e">
        <f>IF(#REF!,"AAAAAG6Untg=",0)</f>
        <v>#REF!</v>
      </c>
      <c r="HJ100" t="e">
        <f>AND(#REF!,"AAAAAG6Untk=")</f>
        <v>#REF!</v>
      </c>
      <c r="HK100" t="e">
        <f>AND(#REF!,"AAAAAG6Unto=")</f>
        <v>#REF!</v>
      </c>
      <c r="HL100" t="e">
        <f>AND(#REF!,"AAAAAG6Unts=")</f>
        <v>#REF!</v>
      </c>
      <c r="HM100" t="e">
        <f>AND(#REF!,"AAAAAG6Untw=")</f>
        <v>#REF!</v>
      </c>
      <c r="HN100" t="e">
        <f>AND(#REF!,"AAAAAG6Unt0=")</f>
        <v>#REF!</v>
      </c>
      <c r="HO100" t="e">
        <f>AND(#REF!,"AAAAAG6Unt4=")</f>
        <v>#REF!</v>
      </c>
      <c r="HP100" t="e">
        <f>IF(#REF!,"AAAAAG6Unt8=",0)</f>
        <v>#REF!</v>
      </c>
      <c r="HQ100" t="e">
        <f>AND(#REF!,"AAAAAG6UnuA=")</f>
        <v>#REF!</v>
      </c>
      <c r="HR100" t="e">
        <f>AND(#REF!,"AAAAAG6UnuE=")</f>
        <v>#REF!</v>
      </c>
      <c r="HS100" t="e">
        <f>AND(#REF!,"AAAAAG6UnuI=")</f>
        <v>#REF!</v>
      </c>
      <c r="HT100" t="e">
        <f>AND(#REF!,"AAAAAG6UnuM=")</f>
        <v>#REF!</v>
      </c>
      <c r="HU100" t="e">
        <f>AND(#REF!,"AAAAAG6UnuQ=")</f>
        <v>#REF!</v>
      </c>
      <c r="HV100" t="e">
        <f>AND(#REF!,"AAAAAG6UnuU=")</f>
        <v>#REF!</v>
      </c>
      <c r="HW100" t="e">
        <f>IF(#REF!,"AAAAAG6UnuY=",0)</f>
        <v>#REF!</v>
      </c>
      <c r="HX100" t="e">
        <f>AND(#REF!,"AAAAAG6Unuc=")</f>
        <v>#REF!</v>
      </c>
      <c r="HY100" t="e">
        <f>AND(#REF!,"AAAAAG6Unug=")</f>
        <v>#REF!</v>
      </c>
      <c r="HZ100" t="e">
        <f>AND(#REF!,"AAAAAG6Unuk=")</f>
        <v>#REF!</v>
      </c>
      <c r="IA100" t="e">
        <f>AND(#REF!,"AAAAAG6Unuo=")</f>
        <v>#REF!</v>
      </c>
      <c r="IB100" t="e">
        <f>AND(#REF!,"AAAAAG6Unus=")</f>
        <v>#REF!</v>
      </c>
      <c r="IC100" t="e">
        <f>AND(#REF!,"AAAAAG6Unuw=")</f>
        <v>#REF!</v>
      </c>
      <c r="ID100" t="e">
        <f>IF(#REF!,"AAAAAG6Unu0=",0)</f>
        <v>#REF!</v>
      </c>
      <c r="IE100" t="e">
        <f>AND(#REF!,"AAAAAG6Unu4=")</f>
        <v>#REF!</v>
      </c>
      <c r="IF100" t="e">
        <f>AND(#REF!,"AAAAAG6Unu8=")</f>
        <v>#REF!</v>
      </c>
      <c r="IG100" t="e">
        <f>AND(#REF!,"AAAAAG6UnvA=")</f>
        <v>#REF!</v>
      </c>
      <c r="IH100" t="e">
        <f>AND(#REF!,"AAAAAG6UnvE=")</f>
        <v>#REF!</v>
      </c>
      <c r="II100" t="e">
        <f>AND(#REF!,"AAAAAG6UnvI=")</f>
        <v>#REF!</v>
      </c>
      <c r="IJ100" t="e">
        <f>AND(#REF!,"AAAAAG6UnvM=")</f>
        <v>#REF!</v>
      </c>
      <c r="IK100" t="e">
        <f>IF(#REF!,"AAAAAG6UnvQ=",0)</f>
        <v>#REF!</v>
      </c>
      <c r="IL100" t="e">
        <f>AND(#REF!,"AAAAAG6UnvU=")</f>
        <v>#REF!</v>
      </c>
      <c r="IM100" t="e">
        <f>AND(#REF!,"AAAAAG6UnvY=")</f>
        <v>#REF!</v>
      </c>
      <c r="IN100" t="e">
        <f>AND(#REF!,"AAAAAG6Unvc=")</f>
        <v>#REF!</v>
      </c>
      <c r="IO100" t="e">
        <f>AND(#REF!,"AAAAAG6Unvg=")</f>
        <v>#REF!</v>
      </c>
      <c r="IP100" t="e">
        <f>AND(#REF!,"AAAAAG6Unvk=")</f>
        <v>#REF!</v>
      </c>
      <c r="IQ100" t="e">
        <f>AND(#REF!,"AAAAAG6Unvo=")</f>
        <v>#REF!</v>
      </c>
      <c r="IR100" t="e">
        <f>IF(#REF!,"AAAAAG6Unvs=",0)</f>
        <v>#REF!</v>
      </c>
      <c r="IS100" t="e">
        <f>AND(#REF!,"AAAAAG6Unvw=")</f>
        <v>#REF!</v>
      </c>
      <c r="IT100" t="e">
        <f>AND(#REF!,"AAAAAG6Unv0=")</f>
        <v>#REF!</v>
      </c>
      <c r="IU100" t="e">
        <f>AND(#REF!,"AAAAAG6Unv4=")</f>
        <v>#REF!</v>
      </c>
      <c r="IV100" t="e">
        <f>AND(#REF!,"AAAAAG6Unv8=")</f>
        <v>#REF!</v>
      </c>
    </row>
    <row r="101" spans="1:256" x14ac:dyDescent="0.15">
      <c r="A101" t="e">
        <f>AND(#REF!,"AAAAAF9/+wA=")</f>
        <v>#REF!</v>
      </c>
      <c r="B101" t="e">
        <f>AND(#REF!,"AAAAAF9/+wE=")</f>
        <v>#REF!</v>
      </c>
      <c r="C101" t="e">
        <f>IF(#REF!,"AAAAAF9/+wI=",0)</f>
        <v>#REF!</v>
      </c>
      <c r="D101" t="e">
        <f>AND(#REF!,"AAAAAF9/+wM=")</f>
        <v>#REF!</v>
      </c>
      <c r="E101" t="e">
        <f>AND(#REF!,"AAAAAF9/+wQ=")</f>
        <v>#REF!</v>
      </c>
      <c r="F101" t="e">
        <f>AND(#REF!,"AAAAAF9/+wU=")</f>
        <v>#REF!</v>
      </c>
      <c r="G101" t="e">
        <f>AND(#REF!,"AAAAAF9/+wY=")</f>
        <v>#REF!</v>
      </c>
      <c r="H101" t="e">
        <f>AND(#REF!,"AAAAAF9/+wc=")</f>
        <v>#REF!</v>
      </c>
      <c r="I101" t="e">
        <f>AND(#REF!,"AAAAAF9/+wg=")</f>
        <v>#REF!</v>
      </c>
      <c r="J101" t="e">
        <f>IF(#REF!,"AAAAAF9/+wk=",0)</f>
        <v>#REF!</v>
      </c>
      <c r="K101" t="e">
        <f>AND(#REF!,"AAAAAF9/+wo=")</f>
        <v>#REF!</v>
      </c>
      <c r="L101" t="e">
        <f>AND(#REF!,"AAAAAF9/+ws=")</f>
        <v>#REF!</v>
      </c>
      <c r="M101" t="e">
        <f>AND(#REF!,"AAAAAF9/+ww=")</f>
        <v>#REF!</v>
      </c>
      <c r="N101" t="e">
        <f>AND(#REF!,"AAAAAF9/+w0=")</f>
        <v>#REF!</v>
      </c>
      <c r="O101" t="e">
        <f>AND(#REF!,"AAAAAF9/+w4=")</f>
        <v>#REF!</v>
      </c>
      <c r="P101" t="e">
        <f>AND(#REF!,"AAAAAF9/+w8=")</f>
        <v>#REF!</v>
      </c>
      <c r="Q101" t="e">
        <f>IF(#REF!,"AAAAAF9/+xA=",0)</f>
        <v>#REF!</v>
      </c>
      <c r="R101" t="e">
        <f>AND(#REF!,"AAAAAF9/+xE=")</f>
        <v>#REF!</v>
      </c>
      <c r="S101" t="e">
        <f>AND(#REF!,"AAAAAF9/+xI=")</f>
        <v>#REF!</v>
      </c>
      <c r="T101" t="e">
        <f>AND(#REF!,"AAAAAF9/+xM=")</f>
        <v>#REF!</v>
      </c>
      <c r="U101" t="e">
        <f>AND(#REF!,"AAAAAF9/+xQ=")</f>
        <v>#REF!</v>
      </c>
      <c r="V101" t="e">
        <f>AND(#REF!,"AAAAAF9/+xU=")</f>
        <v>#REF!</v>
      </c>
      <c r="W101" t="e">
        <f>AND(#REF!,"AAAAAF9/+xY=")</f>
        <v>#REF!</v>
      </c>
      <c r="X101" t="e">
        <f>IF(#REF!,"AAAAAF9/+xc=",0)</f>
        <v>#REF!</v>
      </c>
      <c r="Y101" t="e">
        <f>AND(#REF!,"AAAAAF9/+xg=")</f>
        <v>#REF!</v>
      </c>
      <c r="Z101" t="e">
        <f>AND(#REF!,"AAAAAF9/+xk=")</f>
        <v>#REF!</v>
      </c>
      <c r="AA101" t="e">
        <f>AND(#REF!,"AAAAAF9/+xo=")</f>
        <v>#REF!</v>
      </c>
      <c r="AB101" t="e">
        <f>AND(#REF!,"AAAAAF9/+xs=")</f>
        <v>#REF!</v>
      </c>
      <c r="AC101" t="e">
        <f>AND(#REF!,"AAAAAF9/+xw=")</f>
        <v>#REF!</v>
      </c>
      <c r="AD101" t="e">
        <f>AND(#REF!,"AAAAAF9/+x0=")</f>
        <v>#REF!</v>
      </c>
      <c r="AE101" t="e">
        <f>IF(#REF!,"AAAAAF9/+x4=",0)</f>
        <v>#REF!</v>
      </c>
      <c r="AF101" t="e">
        <f>AND(#REF!,"AAAAAF9/+x8=")</f>
        <v>#REF!</v>
      </c>
      <c r="AG101" t="e">
        <f>AND(#REF!,"AAAAAF9/+yA=")</f>
        <v>#REF!</v>
      </c>
      <c r="AH101" t="e">
        <f>AND(#REF!,"AAAAAF9/+yE=")</f>
        <v>#REF!</v>
      </c>
      <c r="AI101" t="e">
        <f>AND(#REF!,"AAAAAF9/+yI=")</f>
        <v>#REF!</v>
      </c>
      <c r="AJ101" t="e">
        <f>AND(#REF!,"AAAAAF9/+yM=")</f>
        <v>#REF!</v>
      </c>
      <c r="AK101" t="e">
        <f>AND(#REF!,"AAAAAF9/+yQ=")</f>
        <v>#REF!</v>
      </c>
      <c r="AL101" t="e">
        <f>IF(#REF!,"AAAAAF9/+yU=",0)</f>
        <v>#REF!</v>
      </c>
      <c r="AM101" t="e">
        <f>AND(#REF!,"AAAAAF9/+yY=")</f>
        <v>#REF!</v>
      </c>
      <c r="AN101" t="e">
        <f>AND(#REF!,"AAAAAF9/+yc=")</f>
        <v>#REF!</v>
      </c>
      <c r="AO101" t="e">
        <f>AND(#REF!,"AAAAAF9/+yg=")</f>
        <v>#REF!</v>
      </c>
      <c r="AP101" t="e">
        <f>AND(#REF!,"AAAAAF9/+yk=")</f>
        <v>#REF!</v>
      </c>
      <c r="AQ101" t="e">
        <f>AND(#REF!,"AAAAAF9/+yo=")</f>
        <v>#REF!</v>
      </c>
      <c r="AR101" t="e">
        <f>AND(#REF!,"AAAAAF9/+ys=")</f>
        <v>#REF!</v>
      </c>
      <c r="AS101" t="e">
        <f>IF(#REF!,"AAAAAF9/+yw=",0)</f>
        <v>#REF!</v>
      </c>
      <c r="AT101" t="e">
        <f>AND(#REF!,"AAAAAF9/+y0=")</f>
        <v>#REF!</v>
      </c>
      <c r="AU101" t="e">
        <f>AND(#REF!,"AAAAAF9/+y4=")</f>
        <v>#REF!</v>
      </c>
      <c r="AV101" t="e">
        <f>AND(#REF!,"AAAAAF9/+y8=")</f>
        <v>#REF!</v>
      </c>
      <c r="AW101" t="e">
        <f>AND(#REF!,"AAAAAF9/+zA=")</f>
        <v>#REF!</v>
      </c>
      <c r="AX101" t="e">
        <f>AND(#REF!,"AAAAAF9/+zE=")</f>
        <v>#REF!</v>
      </c>
      <c r="AY101" t="e">
        <f>AND(#REF!,"AAAAAF9/+zI=")</f>
        <v>#REF!</v>
      </c>
      <c r="AZ101" t="e">
        <f>IF(#REF!,"AAAAAF9/+zM=",0)</f>
        <v>#REF!</v>
      </c>
      <c r="BA101" t="e">
        <f>AND(#REF!,"AAAAAF9/+zQ=")</f>
        <v>#REF!</v>
      </c>
      <c r="BB101" t="e">
        <f>AND(#REF!,"AAAAAF9/+zU=")</f>
        <v>#REF!</v>
      </c>
      <c r="BC101" t="e">
        <f>AND(#REF!,"AAAAAF9/+zY=")</f>
        <v>#REF!</v>
      </c>
      <c r="BD101" t="e">
        <f>AND(#REF!,"AAAAAF9/+zc=")</f>
        <v>#REF!</v>
      </c>
      <c r="BE101" t="e">
        <f>AND(#REF!,"AAAAAF9/+zg=")</f>
        <v>#REF!</v>
      </c>
      <c r="BF101" t="e">
        <f>AND(#REF!,"AAAAAF9/+zk=")</f>
        <v>#REF!</v>
      </c>
      <c r="BG101" t="e">
        <f>IF(#REF!,"AAAAAF9/+zo=",0)</f>
        <v>#REF!</v>
      </c>
      <c r="BH101" t="e">
        <f>AND(#REF!,"AAAAAF9/+zs=")</f>
        <v>#REF!</v>
      </c>
      <c r="BI101" t="e">
        <f>AND(#REF!,"AAAAAF9/+zw=")</f>
        <v>#REF!</v>
      </c>
      <c r="BJ101" t="e">
        <f>AND(#REF!,"AAAAAF9/+z0=")</f>
        <v>#REF!</v>
      </c>
      <c r="BK101" t="e">
        <f>AND(#REF!,"AAAAAF9/+z4=")</f>
        <v>#REF!</v>
      </c>
      <c r="BL101" t="e">
        <f>AND(#REF!,"AAAAAF9/+z8=")</f>
        <v>#REF!</v>
      </c>
      <c r="BM101" t="e">
        <f>AND(#REF!,"AAAAAF9/+0A=")</f>
        <v>#REF!</v>
      </c>
      <c r="BN101" t="e">
        <f>IF(#REF!,"AAAAAF9/+0E=",0)</f>
        <v>#REF!</v>
      </c>
      <c r="BO101" t="e">
        <f>AND(#REF!,"AAAAAF9/+0I=")</f>
        <v>#REF!</v>
      </c>
      <c r="BP101" t="e">
        <f>AND(#REF!,"AAAAAF9/+0M=")</f>
        <v>#REF!</v>
      </c>
      <c r="BQ101" t="e">
        <f>AND(#REF!,"AAAAAF9/+0Q=")</f>
        <v>#REF!</v>
      </c>
      <c r="BR101" t="e">
        <f>AND(#REF!,"AAAAAF9/+0U=")</f>
        <v>#REF!</v>
      </c>
      <c r="BS101" t="e">
        <f>AND(#REF!,"AAAAAF9/+0Y=")</f>
        <v>#REF!</v>
      </c>
      <c r="BT101" t="e">
        <f>AND(#REF!,"AAAAAF9/+0c=")</f>
        <v>#REF!</v>
      </c>
      <c r="BU101" t="e">
        <f>IF(#REF!,"AAAAAF9/+0g=",0)</f>
        <v>#REF!</v>
      </c>
      <c r="BV101" t="e">
        <f>AND(#REF!,"AAAAAF9/+0k=")</f>
        <v>#REF!</v>
      </c>
      <c r="BW101" t="e">
        <f>AND(#REF!,"AAAAAF9/+0o=")</f>
        <v>#REF!</v>
      </c>
      <c r="BX101" t="e">
        <f>AND(#REF!,"AAAAAF9/+0s=")</f>
        <v>#REF!</v>
      </c>
      <c r="BY101" t="e">
        <f>AND(#REF!,"AAAAAF9/+0w=")</f>
        <v>#REF!</v>
      </c>
      <c r="BZ101" t="e">
        <f>AND(#REF!,"AAAAAF9/+00=")</f>
        <v>#REF!</v>
      </c>
      <c r="CA101" t="e">
        <f>AND(#REF!,"AAAAAF9/+04=")</f>
        <v>#REF!</v>
      </c>
      <c r="CB101" t="e">
        <f>IF(#REF!,"AAAAAF9/+08=",0)</f>
        <v>#REF!</v>
      </c>
      <c r="CC101" t="e">
        <f>AND(#REF!,"AAAAAF9/+1A=")</f>
        <v>#REF!</v>
      </c>
      <c r="CD101" t="e">
        <f>AND(#REF!,"AAAAAF9/+1E=")</f>
        <v>#REF!</v>
      </c>
      <c r="CE101" t="e">
        <f>AND(#REF!,"AAAAAF9/+1I=")</f>
        <v>#REF!</v>
      </c>
      <c r="CF101" t="e">
        <f>AND(#REF!,"AAAAAF9/+1M=")</f>
        <v>#REF!</v>
      </c>
      <c r="CG101" t="e">
        <f>AND(#REF!,"AAAAAF9/+1Q=")</f>
        <v>#REF!</v>
      </c>
      <c r="CH101" t="e">
        <f>AND(#REF!,"AAAAAF9/+1U=")</f>
        <v>#REF!</v>
      </c>
      <c r="CI101" t="e">
        <f>IF(#REF!,"AAAAAF9/+1Y=",0)</f>
        <v>#REF!</v>
      </c>
      <c r="CJ101" t="e">
        <f>AND(#REF!,"AAAAAF9/+1c=")</f>
        <v>#REF!</v>
      </c>
      <c r="CK101" t="e">
        <f>AND(#REF!,"AAAAAF9/+1g=")</f>
        <v>#REF!</v>
      </c>
      <c r="CL101" t="e">
        <f>AND(#REF!,"AAAAAF9/+1k=")</f>
        <v>#REF!</v>
      </c>
      <c r="CM101" t="e">
        <f>AND(#REF!,"AAAAAF9/+1o=")</f>
        <v>#REF!</v>
      </c>
      <c r="CN101" t="e">
        <f>AND(#REF!,"AAAAAF9/+1s=")</f>
        <v>#REF!</v>
      </c>
      <c r="CO101" t="e">
        <f>AND(#REF!,"AAAAAF9/+1w=")</f>
        <v>#REF!</v>
      </c>
      <c r="CP101" t="e">
        <f>IF(#REF!,"AAAAAF9/+10=",0)</f>
        <v>#REF!</v>
      </c>
      <c r="CQ101" t="e">
        <f>AND(#REF!,"AAAAAF9/+14=")</f>
        <v>#REF!</v>
      </c>
      <c r="CR101" t="e">
        <f>AND(#REF!,"AAAAAF9/+18=")</f>
        <v>#REF!</v>
      </c>
      <c r="CS101" t="e">
        <f>AND(#REF!,"AAAAAF9/+2A=")</f>
        <v>#REF!</v>
      </c>
      <c r="CT101" t="e">
        <f>AND(#REF!,"AAAAAF9/+2E=")</f>
        <v>#REF!</v>
      </c>
      <c r="CU101" t="e">
        <f>AND(#REF!,"AAAAAF9/+2I=")</f>
        <v>#REF!</v>
      </c>
      <c r="CV101" t="e">
        <f>AND(#REF!,"AAAAAF9/+2M=")</f>
        <v>#REF!</v>
      </c>
      <c r="CW101" t="e">
        <f>IF(#REF!,"AAAAAF9/+2Q=",0)</f>
        <v>#REF!</v>
      </c>
      <c r="CX101" t="e">
        <f>AND(#REF!,"AAAAAF9/+2U=")</f>
        <v>#REF!</v>
      </c>
      <c r="CY101" t="e">
        <f>AND(#REF!,"AAAAAF9/+2Y=")</f>
        <v>#REF!</v>
      </c>
      <c r="CZ101" t="e">
        <f>AND(#REF!,"AAAAAF9/+2c=")</f>
        <v>#REF!</v>
      </c>
      <c r="DA101" t="e">
        <f>AND(#REF!,"AAAAAF9/+2g=")</f>
        <v>#REF!</v>
      </c>
      <c r="DB101" t="e">
        <f>AND(#REF!,"AAAAAF9/+2k=")</f>
        <v>#REF!</v>
      </c>
      <c r="DC101" t="e">
        <f>AND(#REF!,"AAAAAF9/+2o=")</f>
        <v>#REF!</v>
      </c>
      <c r="DD101" t="e">
        <f>IF(#REF!,"AAAAAF9/+2s=",0)</f>
        <v>#REF!</v>
      </c>
      <c r="DE101" t="e">
        <f>AND(#REF!,"AAAAAF9/+2w=")</f>
        <v>#REF!</v>
      </c>
      <c r="DF101" t="e">
        <f>AND(#REF!,"AAAAAF9/+20=")</f>
        <v>#REF!</v>
      </c>
      <c r="DG101" t="e">
        <f>AND(#REF!,"AAAAAF9/+24=")</f>
        <v>#REF!</v>
      </c>
      <c r="DH101" t="e">
        <f>AND(#REF!,"AAAAAF9/+28=")</f>
        <v>#REF!</v>
      </c>
      <c r="DI101" t="e">
        <f>AND(#REF!,"AAAAAF9/+3A=")</f>
        <v>#REF!</v>
      </c>
      <c r="DJ101" t="e">
        <f>AND(#REF!,"AAAAAF9/+3E=")</f>
        <v>#REF!</v>
      </c>
      <c r="DK101" t="e">
        <f>IF(#REF!,"AAAAAF9/+3I=",0)</f>
        <v>#REF!</v>
      </c>
      <c r="DL101" t="e">
        <f>AND(#REF!,"AAAAAF9/+3M=")</f>
        <v>#REF!</v>
      </c>
      <c r="DM101" t="e">
        <f>AND(#REF!,"AAAAAF9/+3Q=")</f>
        <v>#REF!</v>
      </c>
      <c r="DN101" t="e">
        <f>AND(#REF!,"AAAAAF9/+3U=")</f>
        <v>#REF!</v>
      </c>
      <c r="DO101" t="e">
        <f>AND(#REF!,"AAAAAF9/+3Y=")</f>
        <v>#REF!</v>
      </c>
      <c r="DP101" t="e">
        <f>AND(#REF!,"AAAAAF9/+3c=")</f>
        <v>#REF!</v>
      </c>
      <c r="DQ101" t="e">
        <f>AND(#REF!,"AAAAAF9/+3g=")</f>
        <v>#REF!</v>
      </c>
      <c r="DR101" t="e">
        <f>IF(#REF!,"AAAAAF9/+3k=",0)</f>
        <v>#REF!</v>
      </c>
      <c r="DS101" t="e">
        <f>AND(#REF!,"AAAAAF9/+3o=")</f>
        <v>#REF!</v>
      </c>
      <c r="DT101" t="e">
        <f>AND(#REF!,"AAAAAF9/+3s=")</f>
        <v>#REF!</v>
      </c>
      <c r="DU101" t="e">
        <f>AND(#REF!,"AAAAAF9/+3w=")</f>
        <v>#REF!</v>
      </c>
      <c r="DV101" t="e">
        <f>AND(#REF!,"AAAAAF9/+30=")</f>
        <v>#REF!</v>
      </c>
      <c r="DW101" t="e">
        <f>AND(#REF!,"AAAAAF9/+34=")</f>
        <v>#REF!</v>
      </c>
      <c r="DX101" t="e">
        <f>AND(#REF!,"AAAAAF9/+38=")</f>
        <v>#REF!</v>
      </c>
      <c r="DY101" t="e">
        <f>IF(#REF!,"AAAAAF9/+4A=",0)</f>
        <v>#REF!</v>
      </c>
      <c r="DZ101" t="e">
        <f>AND(#REF!,"AAAAAF9/+4E=")</f>
        <v>#REF!</v>
      </c>
      <c r="EA101" t="e">
        <f>AND(#REF!,"AAAAAF9/+4I=")</f>
        <v>#REF!</v>
      </c>
      <c r="EB101" t="e">
        <f>AND(#REF!,"AAAAAF9/+4M=")</f>
        <v>#REF!</v>
      </c>
      <c r="EC101" t="e">
        <f>AND(#REF!,"AAAAAF9/+4Q=")</f>
        <v>#REF!</v>
      </c>
      <c r="ED101" t="e">
        <f>AND(#REF!,"AAAAAF9/+4U=")</f>
        <v>#REF!</v>
      </c>
      <c r="EE101" t="e">
        <f>AND(#REF!,"AAAAAF9/+4Y=")</f>
        <v>#REF!</v>
      </c>
      <c r="EF101" t="e">
        <f>IF(#REF!,"AAAAAF9/+4c=",0)</f>
        <v>#REF!</v>
      </c>
      <c r="EG101" t="e">
        <f>AND(#REF!,"AAAAAF9/+4g=")</f>
        <v>#REF!</v>
      </c>
      <c r="EH101" t="e">
        <f>AND(#REF!,"AAAAAF9/+4k=")</f>
        <v>#REF!</v>
      </c>
      <c r="EI101" t="e">
        <f>AND(#REF!,"AAAAAF9/+4o=")</f>
        <v>#REF!</v>
      </c>
      <c r="EJ101" t="e">
        <f>AND(#REF!,"AAAAAF9/+4s=")</f>
        <v>#REF!</v>
      </c>
      <c r="EK101" t="e">
        <f>AND(#REF!,"AAAAAF9/+4w=")</f>
        <v>#REF!</v>
      </c>
      <c r="EL101" t="e">
        <f>AND(#REF!,"AAAAAF9/+40=")</f>
        <v>#REF!</v>
      </c>
      <c r="EM101" t="e">
        <f>IF(#REF!,"AAAAAF9/+44=",0)</f>
        <v>#REF!</v>
      </c>
      <c r="EN101" t="e">
        <f>AND(#REF!,"AAAAAF9/+48=")</f>
        <v>#REF!</v>
      </c>
      <c r="EO101" t="e">
        <f>AND(#REF!,"AAAAAF9/+5A=")</f>
        <v>#REF!</v>
      </c>
      <c r="EP101" t="e">
        <f>AND(#REF!,"AAAAAF9/+5E=")</f>
        <v>#REF!</v>
      </c>
      <c r="EQ101" t="e">
        <f>AND(#REF!,"AAAAAF9/+5I=")</f>
        <v>#REF!</v>
      </c>
      <c r="ER101" t="e">
        <f>AND(#REF!,"AAAAAF9/+5M=")</f>
        <v>#REF!</v>
      </c>
      <c r="ES101" t="e">
        <f>AND(#REF!,"AAAAAF9/+5Q=")</f>
        <v>#REF!</v>
      </c>
      <c r="ET101" t="e">
        <f>IF(#REF!,"AAAAAF9/+5U=",0)</f>
        <v>#REF!</v>
      </c>
      <c r="EU101" t="e">
        <f>AND(#REF!,"AAAAAF9/+5Y=")</f>
        <v>#REF!</v>
      </c>
      <c r="EV101" t="e">
        <f>AND(#REF!,"AAAAAF9/+5c=")</f>
        <v>#REF!</v>
      </c>
      <c r="EW101" t="e">
        <f>AND(#REF!,"AAAAAF9/+5g=")</f>
        <v>#REF!</v>
      </c>
      <c r="EX101" t="e">
        <f>AND(#REF!,"AAAAAF9/+5k=")</f>
        <v>#REF!</v>
      </c>
      <c r="EY101" t="e">
        <f>AND(#REF!,"AAAAAF9/+5o=")</f>
        <v>#REF!</v>
      </c>
      <c r="EZ101" t="e">
        <f>AND(#REF!,"AAAAAF9/+5s=")</f>
        <v>#REF!</v>
      </c>
      <c r="FA101" t="e">
        <f>IF(#REF!,"AAAAAF9/+5w=",0)</f>
        <v>#REF!</v>
      </c>
      <c r="FB101" t="e">
        <f>AND(#REF!,"AAAAAF9/+50=")</f>
        <v>#REF!</v>
      </c>
      <c r="FC101" t="e">
        <f>AND(#REF!,"AAAAAF9/+54=")</f>
        <v>#REF!</v>
      </c>
      <c r="FD101" t="e">
        <f>AND(#REF!,"AAAAAF9/+58=")</f>
        <v>#REF!</v>
      </c>
      <c r="FE101" t="e">
        <f>AND(#REF!,"AAAAAF9/+6A=")</f>
        <v>#REF!</v>
      </c>
      <c r="FF101" t="e">
        <f>AND(#REF!,"AAAAAF9/+6E=")</f>
        <v>#REF!</v>
      </c>
      <c r="FG101" t="e">
        <f>AND(#REF!,"AAAAAF9/+6I=")</f>
        <v>#REF!</v>
      </c>
      <c r="FH101" t="e">
        <f>IF(#REF!,"AAAAAF9/+6M=",0)</f>
        <v>#REF!</v>
      </c>
      <c r="FI101" t="e">
        <f>AND(#REF!,"AAAAAF9/+6Q=")</f>
        <v>#REF!</v>
      </c>
      <c r="FJ101" t="e">
        <f>AND(#REF!,"AAAAAF9/+6U=")</f>
        <v>#REF!</v>
      </c>
      <c r="FK101" t="e">
        <f>AND(#REF!,"AAAAAF9/+6Y=")</f>
        <v>#REF!</v>
      </c>
      <c r="FL101" t="e">
        <f>AND(#REF!,"AAAAAF9/+6c=")</f>
        <v>#REF!</v>
      </c>
      <c r="FM101" t="e">
        <f>AND(#REF!,"AAAAAF9/+6g=")</f>
        <v>#REF!</v>
      </c>
      <c r="FN101" t="e">
        <f>AND(#REF!,"AAAAAF9/+6k=")</f>
        <v>#REF!</v>
      </c>
      <c r="FO101" t="e">
        <f>IF(#REF!,"AAAAAF9/+6o=",0)</f>
        <v>#REF!</v>
      </c>
      <c r="FP101" t="e">
        <f>AND(#REF!,"AAAAAF9/+6s=")</f>
        <v>#REF!</v>
      </c>
      <c r="FQ101" t="e">
        <f>AND(#REF!,"AAAAAF9/+6w=")</f>
        <v>#REF!</v>
      </c>
      <c r="FR101" t="e">
        <f>AND(#REF!,"AAAAAF9/+60=")</f>
        <v>#REF!</v>
      </c>
      <c r="FS101" t="e">
        <f>AND(#REF!,"AAAAAF9/+64=")</f>
        <v>#REF!</v>
      </c>
      <c r="FT101" t="e">
        <f>AND(#REF!,"AAAAAF9/+68=")</f>
        <v>#REF!</v>
      </c>
      <c r="FU101" t="e">
        <f>AND(#REF!,"AAAAAF9/+7A=")</f>
        <v>#REF!</v>
      </c>
      <c r="FV101" t="e">
        <f>IF(#REF!,"AAAAAF9/+7E=",0)</f>
        <v>#REF!</v>
      </c>
      <c r="FW101" t="e">
        <f>AND(#REF!,"AAAAAF9/+7I=")</f>
        <v>#REF!</v>
      </c>
      <c r="FX101" t="e">
        <f>AND(#REF!,"AAAAAF9/+7M=")</f>
        <v>#REF!</v>
      </c>
      <c r="FY101" t="e">
        <f>AND(#REF!,"AAAAAF9/+7Q=")</f>
        <v>#REF!</v>
      </c>
      <c r="FZ101" t="e">
        <f>AND(#REF!,"AAAAAF9/+7U=")</f>
        <v>#REF!</v>
      </c>
      <c r="GA101" t="e">
        <f>AND(#REF!,"AAAAAF9/+7Y=")</f>
        <v>#REF!</v>
      </c>
      <c r="GB101" t="e">
        <f>AND(#REF!,"AAAAAF9/+7c=")</f>
        <v>#REF!</v>
      </c>
      <c r="GC101" t="e">
        <f>IF(#REF!,"AAAAAF9/+7g=",0)</f>
        <v>#REF!</v>
      </c>
      <c r="GD101" t="e">
        <f>AND(#REF!,"AAAAAF9/+7k=")</f>
        <v>#REF!</v>
      </c>
      <c r="GE101" t="e">
        <f>AND(#REF!,"AAAAAF9/+7o=")</f>
        <v>#REF!</v>
      </c>
      <c r="GF101" t="e">
        <f>AND(#REF!,"AAAAAF9/+7s=")</f>
        <v>#REF!</v>
      </c>
      <c r="GG101" t="e">
        <f>AND(#REF!,"AAAAAF9/+7w=")</f>
        <v>#REF!</v>
      </c>
      <c r="GH101" t="e">
        <f>AND(#REF!,"AAAAAF9/+70=")</f>
        <v>#REF!</v>
      </c>
      <c r="GI101" t="e">
        <f>AND(#REF!,"AAAAAF9/+74=")</f>
        <v>#REF!</v>
      </c>
      <c r="GJ101" t="e">
        <f>IF(#REF!,"AAAAAF9/+78=",0)</f>
        <v>#REF!</v>
      </c>
      <c r="GK101" t="e">
        <f>AND(#REF!,"AAAAAF9/+8A=")</f>
        <v>#REF!</v>
      </c>
      <c r="GL101" t="e">
        <f>AND(#REF!,"AAAAAF9/+8E=")</f>
        <v>#REF!</v>
      </c>
      <c r="GM101" t="e">
        <f>AND(#REF!,"AAAAAF9/+8I=")</f>
        <v>#REF!</v>
      </c>
      <c r="GN101" t="e">
        <f>AND(#REF!,"AAAAAF9/+8M=")</f>
        <v>#REF!</v>
      </c>
      <c r="GO101" t="e">
        <f>AND(#REF!,"AAAAAF9/+8Q=")</f>
        <v>#REF!</v>
      </c>
      <c r="GP101" t="e">
        <f>AND(#REF!,"AAAAAF9/+8U=")</f>
        <v>#REF!</v>
      </c>
      <c r="GQ101" t="e">
        <f>IF(#REF!,"AAAAAF9/+8Y=",0)</f>
        <v>#REF!</v>
      </c>
      <c r="GR101" t="e">
        <f>AND(#REF!,"AAAAAF9/+8c=")</f>
        <v>#REF!</v>
      </c>
      <c r="GS101" t="e">
        <f>AND(#REF!,"AAAAAF9/+8g=")</f>
        <v>#REF!</v>
      </c>
      <c r="GT101" t="e">
        <f>AND(#REF!,"AAAAAF9/+8k=")</f>
        <v>#REF!</v>
      </c>
      <c r="GU101" t="e">
        <f>AND(#REF!,"AAAAAF9/+8o=")</f>
        <v>#REF!</v>
      </c>
      <c r="GV101" t="e">
        <f>AND(#REF!,"AAAAAF9/+8s=")</f>
        <v>#REF!</v>
      </c>
      <c r="GW101" t="e">
        <f>AND(#REF!,"AAAAAF9/+8w=")</f>
        <v>#REF!</v>
      </c>
      <c r="GX101" t="e">
        <f>IF(#REF!,"AAAAAF9/+80=",0)</f>
        <v>#REF!</v>
      </c>
      <c r="GY101" t="e">
        <f>AND(#REF!,"AAAAAF9/+84=")</f>
        <v>#REF!</v>
      </c>
      <c r="GZ101" t="e">
        <f>AND(#REF!,"AAAAAF9/+88=")</f>
        <v>#REF!</v>
      </c>
      <c r="HA101" t="e">
        <f>AND(#REF!,"AAAAAF9/+9A=")</f>
        <v>#REF!</v>
      </c>
      <c r="HB101" t="e">
        <f>AND(#REF!,"AAAAAF9/+9E=")</f>
        <v>#REF!</v>
      </c>
      <c r="HC101" t="e">
        <f>AND(#REF!,"AAAAAF9/+9I=")</f>
        <v>#REF!</v>
      </c>
      <c r="HD101" t="e">
        <f>AND(#REF!,"AAAAAF9/+9M=")</f>
        <v>#REF!</v>
      </c>
      <c r="HE101" t="e">
        <f>IF(#REF!,"AAAAAF9/+9Q=",0)</f>
        <v>#REF!</v>
      </c>
      <c r="HF101" t="e">
        <f>AND(#REF!,"AAAAAF9/+9U=")</f>
        <v>#REF!</v>
      </c>
      <c r="HG101" t="e">
        <f>AND(#REF!,"AAAAAF9/+9Y=")</f>
        <v>#REF!</v>
      </c>
      <c r="HH101" t="e">
        <f>AND(#REF!,"AAAAAF9/+9c=")</f>
        <v>#REF!</v>
      </c>
      <c r="HI101" t="e">
        <f>AND(#REF!,"AAAAAF9/+9g=")</f>
        <v>#REF!</v>
      </c>
      <c r="HJ101" t="e">
        <f>AND(#REF!,"AAAAAF9/+9k=")</f>
        <v>#REF!</v>
      </c>
      <c r="HK101" t="e">
        <f>AND(#REF!,"AAAAAF9/+9o=")</f>
        <v>#REF!</v>
      </c>
      <c r="HL101" t="e">
        <f>IF(#REF!,"AAAAAF9/+9s=",0)</f>
        <v>#REF!</v>
      </c>
      <c r="HM101" t="e">
        <f>AND(#REF!,"AAAAAF9/+9w=")</f>
        <v>#REF!</v>
      </c>
      <c r="HN101" t="e">
        <f>AND(#REF!,"AAAAAF9/+90=")</f>
        <v>#REF!</v>
      </c>
      <c r="HO101" t="e">
        <f>AND(#REF!,"AAAAAF9/+94=")</f>
        <v>#REF!</v>
      </c>
      <c r="HP101" t="e">
        <f>AND(#REF!,"AAAAAF9/+98=")</f>
        <v>#REF!</v>
      </c>
      <c r="HQ101" t="e">
        <f>AND(#REF!,"AAAAAF9/++A=")</f>
        <v>#REF!</v>
      </c>
      <c r="HR101" t="e">
        <f>AND(#REF!,"AAAAAF9/++E=")</f>
        <v>#REF!</v>
      </c>
      <c r="HS101" t="e">
        <f>IF(#REF!,"AAAAAF9/++I=",0)</f>
        <v>#REF!</v>
      </c>
      <c r="HT101" t="e">
        <f>AND(#REF!,"AAAAAF9/++M=")</f>
        <v>#REF!</v>
      </c>
      <c r="HU101" t="e">
        <f>AND(#REF!,"AAAAAF9/++Q=")</f>
        <v>#REF!</v>
      </c>
      <c r="HV101" t="e">
        <f>AND(#REF!,"AAAAAF9/++U=")</f>
        <v>#REF!</v>
      </c>
      <c r="HW101" t="e">
        <f>AND(#REF!,"AAAAAF9/++Y=")</f>
        <v>#REF!</v>
      </c>
      <c r="HX101" t="e">
        <f>AND(#REF!,"AAAAAF9/++c=")</f>
        <v>#REF!</v>
      </c>
      <c r="HY101" t="e">
        <f>AND(#REF!,"AAAAAF9/++g=")</f>
        <v>#REF!</v>
      </c>
      <c r="HZ101" t="e">
        <f>IF(#REF!,"AAAAAF9/++k=",0)</f>
        <v>#REF!</v>
      </c>
      <c r="IA101" t="e">
        <f>AND(#REF!,"AAAAAF9/++o=")</f>
        <v>#REF!</v>
      </c>
      <c r="IB101" t="e">
        <f>AND(#REF!,"AAAAAF9/++s=")</f>
        <v>#REF!</v>
      </c>
      <c r="IC101" t="e">
        <f>AND(#REF!,"AAAAAF9/++w=")</f>
        <v>#REF!</v>
      </c>
      <c r="ID101" t="e">
        <f>AND(#REF!,"AAAAAF9/++0=")</f>
        <v>#REF!</v>
      </c>
      <c r="IE101" t="e">
        <f>AND(#REF!,"AAAAAF9/++4=")</f>
        <v>#REF!</v>
      </c>
      <c r="IF101" t="e">
        <f>AND(#REF!,"AAAAAF9/++8=")</f>
        <v>#REF!</v>
      </c>
      <c r="IG101" t="e">
        <f>IF(#REF!,"AAAAAF9/+/A=",0)</f>
        <v>#REF!</v>
      </c>
      <c r="IH101" t="e">
        <f>AND(#REF!,"AAAAAF9/+/E=")</f>
        <v>#REF!</v>
      </c>
      <c r="II101" t="e">
        <f>AND(#REF!,"AAAAAF9/+/I=")</f>
        <v>#REF!</v>
      </c>
      <c r="IJ101" t="e">
        <f>AND(#REF!,"AAAAAF9/+/M=")</f>
        <v>#REF!</v>
      </c>
      <c r="IK101" t="e">
        <f>AND(#REF!,"AAAAAF9/+/Q=")</f>
        <v>#REF!</v>
      </c>
      <c r="IL101" t="e">
        <f>AND(#REF!,"AAAAAF9/+/U=")</f>
        <v>#REF!</v>
      </c>
      <c r="IM101" t="e">
        <f>AND(#REF!,"AAAAAF9/+/Y=")</f>
        <v>#REF!</v>
      </c>
      <c r="IN101" t="e">
        <f>IF(#REF!,"AAAAAF9/+/c=",0)</f>
        <v>#REF!</v>
      </c>
      <c r="IO101" t="e">
        <f>AND(#REF!,"AAAAAF9/+/g=")</f>
        <v>#REF!</v>
      </c>
      <c r="IP101" t="e">
        <f>AND(#REF!,"AAAAAF9/+/k=")</f>
        <v>#REF!</v>
      </c>
      <c r="IQ101" t="e">
        <f>AND(#REF!,"AAAAAF9/+/o=")</f>
        <v>#REF!</v>
      </c>
      <c r="IR101" t="e">
        <f>AND(#REF!,"AAAAAF9/+/s=")</f>
        <v>#REF!</v>
      </c>
      <c r="IS101" t="e">
        <f>AND(#REF!,"AAAAAF9/+/w=")</f>
        <v>#REF!</v>
      </c>
      <c r="IT101" t="e">
        <f>AND(#REF!,"AAAAAF9/+/0=")</f>
        <v>#REF!</v>
      </c>
      <c r="IU101" t="e">
        <f>IF(#REF!,"AAAAAF9/+/4=",0)</f>
        <v>#REF!</v>
      </c>
      <c r="IV101" t="e">
        <f>AND(#REF!,"AAAAAF9/+/8=")</f>
        <v>#REF!</v>
      </c>
    </row>
    <row r="102" spans="1:256" x14ac:dyDescent="0.15">
      <c r="A102" t="e">
        <f>AND(#REF!,"AAAAAHgt+AA=")</f>
        <v>#REF!</v>
      </c>
      <c r="B102" t="e">
        <f>AND(#REF!,"AAAAAHgt+AE=")</f>
        <v>#REF!</v>
      </c>
      <c r="C102" t="e">
        <f>AND(#REF!,"AAAAAHgt+AI=")</f>
        <v>#REF!</v>
      </c>
      <c r="D102" t="e">
        <f>AND(#REF!,"AAAAAHgt+AM=")</f>
        <v>#REF!</v>
      </c>
      <c r="E102" t="e">
        <f>AND(#REF!,"AAAAAHgt+AQ=")</f>
        <v>#REF!</v>
      </c>
      <c r="F102" t="e">
        <f>IF(#REF!,"AAAAAHgt+AU=",0)</f>
        <v>#REF!</v>
      </c>
      <c r="G102" t="e">
        <f>AND(#REF!,"AAAAAHgt+AY=")</f>
        <v>#REF!</v>
      </c>
      <c r="H102" t="e">
        <f>AND(#REF!,"AAAAAHgt+Ac=")</f>
        <v>#REF!</v>
      </c>
      <c r="I102" t="e">
        <f>AND(#REF!,"AAAAAHgt+Ag=")</f>
        <v>#REF!</v>
      </c>
      <c r="J102" t="e">
        <f>AND(#REF!,"AAAAAHgt+Ak=")</f>
        <v>#REF!</v>
      </c>
      <c r="K102" t="e">
        <f>AND(#REF!,"AAAAAHgt+Ao=")</f>
        <v>#REF!</v>
      </c>
      <c r="L102" t="e">
        <f>AND(#REF!,"AAAAAHgt+As=")</f>
        <v>#REF!</v>
      </c>
      <c r="M102" t="e">
        <f>IF(#REF!,"AAAAAHgt+Aw=",0)</f>
        <v>#REF!</v>
      </c>
      <c r="N102" t="e">
        <f>AND(#REF!,"AAAAAHgt+A0=")</f>
        <v>#REF!</v>
      </c>
      <c r="O102" t="e">
        <f>AND(#REF!,"AAAAAHgt+A4=")</f>
        <v>#REF!</v>
      </c>
      <c r="P102" t="e">
        <f>AND(#REF!,"AAAAAHgt+A8=")</f>
        <v>#REF!</v>
      </c>
      <c r="Q102" t="e">
        <f>AND(#REF!,"AAAAAHgt+BA=")</f>
        <v>#REF!</v>
      </c>
      <c r="R102" t="e">
        <f>AND(#REF!,"AAAAAHgt+BE=")</f>
        <v>#REF!</v>
      </c>
      <c r="S102" t="e">
        <f>AND(#REF!,"AAAAAHgt+BI=")</f>
        <v>#REF!</v>
      </c>
      <c r="T102" t="e">
        <f>IF(#REF!,"AAAAAHgt+BM=",0)</f>
        <v>#REF!</v>
      </c>
      <c r="U102" t="e">
        <f>AND(#REF!,"AAAAAHgt+BQ=")</f>
        <v>#REF!</v>
      </c>
      <c r="V102" t="e">
        <f>AND(#REF!,"AAAAAHgt+BU=")</f>
        <v>#REF!</v>
      </c>
      <c r="W102" t="e">
        <f>AND(#REF!,"AAAAAHgt+BY=")</f>
        <v>#REF!</v>
      </c>
      <c r="X102" t="e">
        <f>AND(#REF!,"AAAAAHgt+Bc=")</f>
        <v>#REF!</v>
      </c>
      <c r="Y102" t="e">
        <f>AND(#REF!,"AAAAAHgt+Bg=")</f>
        <v>#REF!</v>
      </c>
      <c r="Z102" t="e">
        <f>AND(#REF!,"AAAAAHgt+Bk=")</f>
        <v>#REF!</v>
      </c>
      <c r="AA102" t="e">
        <f>IF(#REF!,"AAAAAHgt+Bo=",0)</f>
        <v>#REF!</v>
      </c>
      <c r="AB102" t="e">
        <f>AND(#REF!,"AAAAAHgt+Bs=")</f>
        <v>#REF!</v>
      </c>
      <c r="AC102" t="e">
        <f>AND(#REF!,"AAAAAHgt+Bw=")</f>
        <v>#REF!</v>
      </c>
      <c r="AD102" t="e">
        <f>AND(#REF!,"AAAAAHgt+B0=")</f>
        <v>#REF!</v>
      </c>
      <c r="AE102" t="e">
        <f>AND(#REF!,"AAAAAHgt+B4=")</f>
        <v>#REF!</v>
      </c>
      <c r="AF102" t="e">
        <f>AND(#REF!,"AAAAAHgt+B8=")</f>
        <v>#REF!</v>
      </c>
      <c r="AG102" t="e">
        <f>AND(#REF!,"AAAAAHgt+CA=")</f>
        <v>#REF!</v>
      </c>
      <c r="AH102" t="e">
        <f>IF(#REF!,"AAAAAHgt+CE=",0)</f>
        <v>#REF!</v>
      </c>
      <c r="AI102" t="e">
        <f>AND(#REF!,"AAAAAHgt+CI=")</f>
        <v>#REF!</v>
      </c>
      <c r="AJ102" t="e">
        <f>AND(#REF!,"AAAAAHgt+CM=")</f>
        <v>#REF!</v>
      </c>
      <c r="AK102" t="e">
        <f>AND(#REF!,"AAAAAHgt+CQ=")</f>
        <v>#REF!</v>
      </c>
      <c r="AL102" t="e">
        <f>AND(#REF!,"AAAAAHgt+CU=")</f>
        <v>#REF!</v>
      </c>
      <c r="AM102" t="e">
        <f>AND(#REF!,"AAAAAHgt+CY=")</f>
        <v>#REF!</v>
      </c>
      <c r="AN102" t="e">
        <f>AND(#REF!,"AAAAAHgt+Cc=")</f>
        <v>#REF!</v>
      </c>
      <c r="AO102" t="e">
        <f>IF(#REF!,"AAAAAHgt+Cg=",0)</f>
        <v>#REF!</v>
      </c>
      <c r="AP102" t="e">
        <f>AND(#REF!,"AAAAAHgt+Ck=")</f>
        <v>#REF!</v>
      </c>
      <c r="AQ102" t="e">
        <f>AND(#REF!,"AAAAAHgt+Co=")</f>
        <v>#REF!</v>
      </c>
      <c r="AR102" t="e">
        <f>AND(#REF!,"AAAAAHgt+Cs=")</f>
        <v>#REF!</v>
      </c>
      <c r="AS102" t="e">
        <f>AND(#REF!,"AAAAAHgt+Cw=")</f>
        <v>#REF!</v>
      </c>
      <c r="AT102" t="e">
        <f>AND(#REF!,"AAAAAHgt+C0=")</f>
        <v>#REF!</v>
      </c>
      <c r="AU102" t="e">
        <f>AND(#REF!,"AAAAAHgt+C4=")</f>
        <v>#REF!</v>
      </c>
      <c r="AV102" t="e">
        <f>IF(#REF!,"AAAAAHgt+C8=",0)</f>
        <v>#REF!</v>
      </c>
      <c r="AW102" t="e">
        <f>AND(#REF!,"AAAAAHgt+DA=")</f>
        <v>#REF!</v>
      </c>
      <c r="AX102" t="e">
        <f>AND(#REF!,"AAAAAHgt+DE=")</f>
        <v>#REF!</v>
      </c>
      <c r="AY102" t="e">
        <f>AND(#REF!,"AAAAAHgt+DI=")</f>
        <v>#REF!</v>
      </c>
      <c r="AZ102" t="e">
        <f>AND(#REF!,"AAAAAHgt+DM=")</f>
        <v>#REF!</v>
      </c>
      <c r="BA102" t="e">
        <f>AND(#REF!,"AAAAAHgt+DQ=")</f>
        <v>#REF!</v>
      </c>
      <c r="BB102" t="e">
        <f>AND(#REF!,"AAAAAHgt+DU=")</f>
        <v>#REF!</v>
      </c>
      <c r="BC102" t="e">
        <f>IF(#REF!,"AAAAAHgt+DY=",0)</f>
        <v>#REF!</v>
      </c>
      <c r="BD102" t="e">
        <f>AND(#REF!,"AAAAAHgt+Dc=")</f>
        <v>#REF!</v>
      </c>
      <c r="BE102" t="e">
        <f>AND(#REF!,"AAAAAHgt+Dg=")</f>
        <v>#REF!</v>
      </c>
      <c r="BF102" t="e">
        <f>AND(#REF!,"AAAAAHgt+Dk=")</f>
        <v>#REF!</v>
      </c>
      <c r="BG102" t="e">
        <f>AND(#REF!,"AAAAAHgt+Do=")</f>
        <v>#REF!</v>
      </c>
      <c r="BH102" t="e">
        <f>AND(#REF!,"AAAAAHgt+Ds=")</f>
        <v>#REF!</v>
      </c>
      <c r="BI102" t="e">
        <f>AND(#REF!,"AAAAAHgt+Dw=")</f>
        <v>#REF!</v>
      </c>
      <c r="BJ102" t="e">
        <f>IF(#REF!,"AAAAAHgt+D0=",0)</f>
        <v>#REF!</v>
      </c>
      <c r="BK102" t="e">
        <f>AND(#REF!,"AAAAAHgt+D4=")</f>
        <v>#REF!</v>
      </c>
      <c r="BL102" t="e">
        <f>AND(#REF!,"AAAAAHgt+D8=")</f>
        <v>#REF!</v>
      </c>
      <c r="BM102" t="e">
        <f>AND(#REF!,"AAAAAHgt+EA=")</f>
        <v>#REF!</v>
      </c>
      <c r="BN102" t="e">
        <f>AND(#REF!,"AAAAAHgt+EE=")</f>
        <v>#REF!</v>
      </c>
      <c r="BO102" t="e">
        <f>AND(#REF!,"AAAAAHgt+EI=")</f>
        <v>#REF!</v>
      </c>
      <c r="BP102" t="e">
        <f>AND(#REF!,"AAAAAHgt+EM=")</f>
        <v>#REF!</v>
      </c>
      <c r="BQ102" t="e">
        <f>IF(#REF!,"AAAAAHgt+EQ=",0)</f>
        <v>#REF!</v>
      </c>
      <c r="BR102" t="e">
        <f>AND(#REF!,"AAAAAHgt+EU=")</f>
        <v>#REF!</v>
      </c>
      <c r="BS102" t="e">
        <f>AND(#REF!,"AAAAAHgt+EY=")</f>
        <v>#REF!</v>
      </c>
      <c r="BT102" t="e">
        <f>AND(#REF!,"AAAAAHgt+Ec=")</f>
        <v>#REF!</v>
      </c>
      <c r="BU102" t="e">
        <f>AND(#REF!,"AAAAAHgt+Eg=")</f>
        <v>#REF!</v>
      </c>
      <c r="BV102" t="e">
        <f>AND(#REF!,"AAAAAHgt+Ek=")</f>
        <v>#REF!</v>
      </c>
      <c r="BW102" t="e">
        <f>AND(#REF!,"AAAAAHgt+Eo=")</f>
        <v>#REF!</v>
      </c>
      <c r="BX102" t="e">
        <f>IF(#REF!,"AAAAAHgt+Es=",0)</f>
        <v>#REF!</v>
      </c>
      <c r="BY102" t="e">
        <f>AND(#REF!,"AAAAAHgt+Ew=")</f>
        <v>#REF!</v>
      </c>
      <c r="BZ102" t="e">
        <f>AND(#REF!,"AAAAAHgt+E0=")</f>
        <v>#REF!</v>
      </c>
      <c r="CA102" t="e">
        <f>AND(#REF!,"AAAAAHgt+E4=")</f>
        <v>#REF!</v>
      </c>
      <c r="CB102" t="e">
        <f>AND(#REF!,"AAAAAHgt+E8=")</f>
        <v>#REF!</v>
      </c>
      <c r="CC102" t="e">
        <f>AND(#REF!,"AAAAAHgt+FA=")</f>
        <v>#REF!</v>
      </c>
      <c r="CD102" t="e">
        <f>AND(#REF!,"AAAAAHgt+FE=")</f>
        <v>#REF!</v>
      </c>
      <c r="CE102" t="e">
        <f>IF(#REF!,"AAAAAHgt+FI=",0)</f>
        <v>#REF!</v>
      </c>
      <c r="CF102" t="e">
        <f>AND(#REF!,"AAAAAHgt+FM=")</f>
        <v>#REF!</v>
      </c>
      <c r="CG102" t="e">
        <f>AND(#REF!,"AAAAAHgt+FQ=")</f>
        <v>#REF!</v>
      </c>
      <c r="CH102" t="e">
        <f>AND(#REF!,"AAAAAHgt+FU=")</f>
        <v>#REF!</v>
      </c>
      <c r="CI102" t="e">
        <f>AND(#REF!,"AAAAAHgt+FY=")</f>
        <v>#REF!</v>
      </c>
      <c r="CJ102" t="e">
        <f>AND(#REF!,"AAAAAHgt+Fc=")</f>
        <v>#REF!</v>
      </c>
      <c r="CK102" t="e">
        <f>AND(#REF!,"AAAAAHgt+Fg=")</f>
        <v>#REF!</v>
      </c>
      <c r="CL102" t="e">
        <f>IF(#REF!,"AAAAAHgt+Fk=",0)</f>
        <v>#REF!</v>
      </c>
      <c r="CM102" t="e">
        <f>AND(#REF!,"AAAAAHgt+Fo=")</f>
        <v>#REF!</v>
      </c>
      <c r="CN102" t="e">
        <f>AND(#REF!,"AAAAAHgt+Fs=")</f>
        <v>#REF!</v>
      </c>
      <c r="CO102" t="e">
        <f>AND(#REF!,"AAAAAHgt+Fw=")</f>
        <v>#REF!</v>
      </c>
      <c r="CP102" t="e">
        <f>AND(#REF!,"AAAAAHgt+F0=")</f>
        <v>#REF!</v>
      </c>
      <c r="CQ102" t="e">
        <f>AND(#REF!,"AAAAAHgt+F4=")</f>
        <v>#REF!</v>
      </c>
      <c r="CR102" t="e">
        <f>AND(#REF!,"AAAAAHgt+F8=")</f>
        <v>#REF!</v>
      </c>
      <c r="CS102" t="e">
        <f>IF(#REF!,"AAAAAHgt+GA=",0)</f>
        <v>#REF!</v>
      </c>
      <c r="CT102" t="e">
        <f>AND(#REF!,"AAAAAHgt+GE=")</f>
        <v>#REF!</v>
      </c>
      <c r="CU102" t="e">
        <f>AND(#REF!,"AAAAAHgt+GI=")</f>
        <v>#REF!</v>
      </c>
      <c r="CV102" t="e">
        <f>AND(#REF!,"AAAAAHgt+GM=")</f>
        <v>#REF!</v>
      </c>
      <c r="CW102" t="e">
        <f>AND(#REF!,"AAAAAHgt+GQ=")</f>
        <v>#REF!</v>
      </c>
      <c r="CX102" t="e">
        <f>AND(#REF!,"AAAAAHgt+GU=")</f>
        <v>#REF!</v>
      </c>
      <c r="CY102" t="e">
        <f>AND(#REF!,"AAAAAHgt+GY=")</f>
        <v>#REF!</v>
      </c>
      <c r="CZ102" t="e">
        <f>IF(#REF!,"AAAAAHgt+Gc=",0)</f>
        <v>#REF!</v>
      </c>
      <c r="DA102" t="e">
        <f>AND(#REF!,"AAAAAHgt+Gg=")</f>
        <v>#REF!</v>
      </c>
      <c r="DB102" t="e">
        <f>AND(#REF!,"AAAAAHgt+Gk=")</f>
        <v>#REF!</v>
      </c>
      <c r="DC102" t="e">
        <f>AND(#REF!,"AAAAAHgt+Go=")</f>
        <v>#REF!</v>
      </c>
      <c r="DD102" t="e">
        <f>AND(#REF!,"AAAAAHgt+Gs=")</f>
        <v>#REF!</v>
      </c>
      <c r="DE102" t="e">
        <f>AND(#REF!,"AAAAAHgt+Gw=")</f>
        <v>#REF!</v>
      </c>
      <c r="DF102" t="e">
        <f>AND(#REF!,"AAAAAHgt+G0=")</f>
        <v>#REF!</v>
      </c>
      <c r="DG102" t="e">
        <f>IF(#REF!,"AAAAAHgt+G4=",0)</f>
        <v>#REF!</v>
      </c>
      <c r="DH102" t="e">
        <f>AND(#REF!,"AAAAAHgt+G8=")</f>
        <v>#REF!</v>
      </c>
      <c r="DI102" t="e">
        <f>AND(#REF!,"AAAAAHgt+HA=")</f>
        <v>#REF!</v>
      </c>
      <c r="DJ102" t="e">
        <f>AND(#REF!,"AAAAAHgt+HE=")</f>
        <v>#REF!</v>
      </c>
      <c r="DK102" t="e">
        <f>AND(#REF!,"AAAAAHgt+HI=")</f>
        <v>#REF!</v>
      </c>
      <c r="DL102" t="e">
        <f>AND(#REF!,"AAAAAHgt+HM=")</f>
        <v>#REF!</v>
      </c>
      <c r="DM102" t="e">
        <f>AND(#REF!,"AAAAAHgt+HQ=")</f>
        <v>#REF!</v>
      </c>
      <c r="DN102" t="e">
        <f>IF(#REF!,"AAAAAHgt+HU=",0)</f>
        <v>#REF!</v>
      </c>
      <c r="DO102" t="e">
        <f>AND(#REF!,"AAAAAHgt+HY=")</f>
        <v>#REF!</v>
      </c>
      <c r="DP102" t="e">
        <f>AND(#REF!,"AAAAAHgt+Hc=")</f>
        <v>#REF!</v>
      </c>
      <c r="DQ102" t="e">
        <f>AND(#REF!,"AAAAAHgt+Hg=")</f>
        <v>#REF!</v>
      </c>
      <c r="DR102" t="e">
        <f>AND(#REF!,"AAAAAHgt+Hk=")</f>
        <v>#REF!</v>
      </c>
      <c r="DS102" t="e">
        <f>AND(#REF!,"AAAAAHgt+Ho=")</f>
        <v>#REF!</v>
      </c>
      <c r="DT102" t="e">
        <f>AND(#REF!,"AAAAAHgt+Hs=")</f>
        <v>#REF!</v>
      </c>
      <c r="DU102" t="e">
        <f>IF(#REF!,"AAAAAHgt+Hw=",0)</f>
        <v>#REF!</v>
      </c>
      <c r="DV102" t="e">
        <f>AND(#REF!,"AAAAAHgt+H0=")</f>
        <v>#REF!</v>
      </c>
      <c r="DW102" t="e">
        <f>AND(#REF!,"AAAAAHgt+H4=")</f>
        <v>#REF!</v>
      </c>
      <c r="DX102" t="e">
        <f>AND(#REF!,"AAAAAHgt+H8=")</f>
        <v>#REF!</v>
      </c>
      <c r="DY102" t="e">
        <f>AND(#REF!,"AAAAAHgt+IA=")</f>
        <v>#REF!</v>
      </c>
      <c r="DZ102" t="e">
        <f>AND(#REF!,"AAAAAHgt+IE=")</f>
        <v>#REF!</v>
      </c>
      <c r="EA102" t="e">
        <f>AND(#REF!,"AAAAAHgt+II=")</f>
        <v>#REF!</v>
      </c>
      <c r="EB102" t="e">
        <f>IF(#REF!,"AAAAAHgt+IM=",0)</f>
        <v>#REF!</v>
      </c>
      <c r="EC102" t="e">
        <f>AND(#REF!,"AAAAAHgt+IQ=")</f>
        <v>#REF!</v>
      </c>
      <c r="ED102" t="e">
        <f>AND(#REF!,"AAAAAHgt+IU=")</f>
        <v>#REF!</v>
      </c>
      <c r="EE102" t="e">
        <f>AND(#REF!,"AAAAAHgt+IY=")</f>
        <v>#REF!</v>
      </c>
      <c r="EF102" t="e">
        <f>AND(#REF!,"AAAAAHgt+Ic=")</f>
        <v>#REF!</v>
      </c>
      <c r="EG102" t="e">
        <f>AND(#REF!,"AAAAAHgt+Ig=")</f>
        <v>#REF!</v>
      </c>
      <c r="EH102" t="e">
        <f>AND(#REF!,"AAAAAHgt+Ik=")</f>
        <v>#REF!</v>
      </c>
      <c r="EI102" t="e">
        <f>IF(#REF!,"AAAAAHgt+Io=",0)</f>
        <v>#REF!</v>
      </c>
      <c r="EJ102" t="e">
        <f>AND(#REF!,"AAAAAHgt+Is=")</f>
        <v>#REF!</v>
      </c>
      <c r="EK102" t="e">
        <f>AND(#REF!,"AAAAAHgt+Iw=")</f>
        <v>#REF!</v>
      </c>
      <c r="EL102" t="e">
        <f>AND(#REF!,"AAAAAHgt+I0=")</f>
        <v>#REF!</v>
      </c>
      <c r="EM102" t="e">
        <f>AND(#REF!,"AAAAAHgt+I4=")</f>
        <v>#REF!</v>
      </c>
      <c r="EN102" t="e">
        <f>AND(#REF!,"AAAAAHgt+I8=")</f>
        <v>#REF!</v>
      </c>
      <c r="EO102" t="e">
        <f>AND(#REF!,"AAAAAHgt+JA=")</f>
        <v>#REF!</v>
      </c>
      <c r="EP102" t="e">
        <f>IF(#REF!,"AAAAAHgt+JE=",0)</f>
        <v>#REF!</v>
      </c>
      <c r="EQ102" t="e">
        <f>AND(#REF!,"AAAAAHgt+JI=")</f>
        <v>#REF!</v>
      </c>
      <c r="ER102" t="e">
        <f>AND(#REF!,"AAAAAHgt+JM=")</f>
        <v>#REF!</v>
      </c>
      <c r="ES102" t="e">
        <f>AND(#REF!,"AAAAAHgt+JQ=")</f>
        <v>#REF!</v>
      </c>
      <c r="ET102" t="e">
        <f>AND(#REF!,"AAAAAHgt+JU=")</f>
        <v>#REF!</v>
      </c>
      <c r="EU102" t="e">
        <f>AND(#REF!,"AAAAAHgt+JY=")</f>
        <v>#REF!</v>
      </c>
      <c r="EV102" t="e">
        <f>AND(#REF!,"AAAAAHgt+Jc=")</f>
        <v>#REF!</v>
      </c>
      <c r="EW102" t="e">
        <f>IF(#REF!,"AAAAAHgt+Jg=",0)</f>
        <v>#REF!</v>
      </c>
      <c r="EX102" t="e">
        <f>AND(#REF!,"AAAAAHgt+Jk=")</f>
        <v>#REF!</v>
      </c>
      <c r="EY102" t="e">
        <f>AND(#REF!,"AAAAAHgt+Jo=")</f>
        <v>#REF!</v>
      </c>
      <c r="EZ102" t="e">
        <f>AND(#REF!,"AAAAAHgt+Js=")</f>
        <v>#REF!</v>
      </c>
      <c r="FA102" t="e">
        <f>AND(#REF!,"AAAAAHgt+Jw=")</f>
        <v>#REF!</v>
      </c>
      <c r="FB102" t="e">
        <f>AND(#REF!,"AAAAAHgt+J0=")</f>
        <v>#REF!</v>
      </c>
      <c r="FC102" t="e">
        <f>AND(#REF!,"AAAAAHgt+J4=")</f>
        <v>#REF!</v>
      </c>
      <c r="FD102" t="e">
        <f>IF(#REF!,"AAAAAHgt+J8=",0)</f>
        <v>#REF!</v>
      </c>
      <c r="FE102" t="e">
        <f>AND(#REF!,"AAAAAHgt+KA=")</f>
        <v>#REF!</v>
      </c>
      <c r="FF102" t="e">
        <f>AND(#REF!,"AAAAAHgt+KE=")</f>
        <v>#REF!</v>
      </c>
      <c r="FG102" t="e">
        <f>AND(#REF!,"AAAAAHgt+KI=")</f>
        <v>#REF!</v>
      </c>
      <c r="FH102" t="e">
        <f>AND(#REF!,"AAAAAHgt+KM=")</f>
        <v>#REF!</v>
      </c>
      <c r="FI102" t="e">
        <f>AND(#REF!,"AAAAAHgt+KQ=")</f>
        <v>#REF!</v>
      </c>
      <c r="FJ102" t="e">
        <f>AND(#REF!,"AAAAAHgt+KU=")</f>
        <v>#REF!</v>
      </c>
      <c r="FK102" t="e">
        <f>IF(#REF!,"AAAAAHgt+KY=",0)</f>
        <v>#REF!</v>
      </c>
      <c r="FL102" t="e">
        <f>AND(#REF!,"AAAAAHgt+Kc=")</f>
        <v>#REF!</v>
      </c>
      <c r="FM102" t="e">
        <f>AND(#REF!,"AAAAAHgt+Kg=")</f>
        <v>#REF!</v>
      </c>
      <c r="FN102" t="e">
        <f>AND(#REF!,"AAAAAHgt+Kk=")</f>
        <v>#REF!</v>
      </c>
      <c r="FO102" t="e">
        <f>AND(#REF!,"AAAAAHgt+Ko=")</f>
        <v>#REF!</v>
      </c>
      <c r="FP102" t="e">
        <f>AND(#REF!,"AAAAAHgt+Ks=")</f>
        <v>#REF!</v>
      </c>
      <c r="FQ102" t="e">
        <f>AND(#REF!,"AAAAAHgt+Kw=")</f>
        <v>#REF!</v>
      </c>
      <c r="FR102" t="e">
        <f>IF(#REF!,"AAAAAHgt+K0=",0)</f>
        <v>#REF!</v>
      </c>
      <c r="FS102" t="e">
        <f>AND(#REF!,"AAAAAHgt+K4=")</f>
        <v>#REF!</v>
      </c>
      <c r="FT102" t="e">
        <f>AND(#REF!,"AAAAAHgt+K8=")</f>
        <v>#REF!</v>
      </c>
      <c r="FU102" t="e">
        <f>AND(#REF!,"AAAAAHgt+LA=")</f>
        <v>#REF!</v>
      </c>
      <c r="FV102" t="e">
        <f>AND(#REF!,"AAAAAHgt+LE=")</f>
        <v>#REF!</v>
      </c>
      <c r="FW102" t="e">
        <f>AND(#REF!,"AAAAAHgt+LI=")</f>
        <v>#REF!</v>
      </c>
      <c r="FX102" t="e">
        <f>AND(#REF!,"AAAAAHgt+LM=")</f>
        <v>#REF!</v>
      </c>
      <c r="FY102" t="e">
        <f>IF(#REF!,"AAAAAHgt+LQ=",0)</f>
        <v>#REF!</v>
      </c>
      <c r="FZ102" t="e">
        <f>AND(#REF!,"AAAAAHgt+LU=")</f>
        <v>#REF!</v>
      </c>
      <c r="GA102" t="e">
        <f>AND(#REF!,"AAAAAHgt+LY=")</f>
        <v>#REF!</v>
      </c>
      <c r="GB102" t="e">
        <f>AND(#REF!,"AAAAAHgt+Lc=")</f>
        <v>#REF!</v>
      </c>
      <c r="GC102" t="e">
        <f>AND(#REF!,"AAAAAHgt+Lg=")</f>
        <v>#REF!</v>
      </c>
      <c r="GD102" t="e">
        <f>AND(#REF!,"AAAAAHgt+Lk=")</f>
        <v>#REF!</v>
      </c>
      <c r="GE102" t="e">
        <f>AND(#REF!,"AAAAAHgt+Lo=")</f>
        <v>#REF!</v>
      </c>
      <c r="GF102" t="e">
        <f>IF(#REF!,"AAAAAHgt+Ls=",0)</f>
        <v>#REF!</v>
      </c>
      <c r="GG102" t="e">
        <f>AND(#REF!,"AAAAAHgt+Lw=")</f>
        <v>#REF!</v>
      </c>
      <c r="GH102" t="e">
        <f>AND(#REF!,"AAAAAHgt+L0=")</f>
        <v>#REF!</v>
      </c>
      <c r="GI102" t="e">
        <f>AND(#REF!,"AAAAAHgt+L4=")</f>
        <v>#REF!</v>
      </c>
      <c r="GJ102" t="e">
        <f>AND(#REF!,"AAAAAHgt+L8=")</f>
        <v>#REF!</v>
      </c>
      <c r="GK102" t="e">
        <f>AND(#REF!,"AAAAAHgt+MA=")</f>
        <v>#REF!</v>
      </c>
      <c r="GL102" t="e">
        <f>AND(#REF!,"AAAAAHgt+ME=")</f>
        <v>#REF!</v>
      </c>
      <c r="GM102" t="e">
        <f>IF(#REF!,"AAAAAHgt+MI=",0)</f>
        <v>#REF!</v>
      </c>
      <c r="GN102" t="e">
        <f>AND(#REF!,"AAAAAHgt+MM=")</f>
        <v>#REF!</v>
      </c>
      <c r="GO102" t="e">
        <f>AND(#REF!,"AAAAAHgt+MQ=")</f>
        <v>#REF!</v>
      </c>
      <c r="GP102" t="e">
        <f>AND(#REF!,"AAAAAHgt+MU=")</f>
        <v>#REF!</v>
      </c>
      <c r="GQ102" t="e">
        <f>AND(#REF!,"AAAAAHgt+MY=")</f>
        <v>#REF!</v>
      </c>
      <c r="GR102" t="e">
        <f>AND(#REF!,"AAAAAHgt+Mc=")</f>
        <v>#REF!</v>
      </c>
      <c r="GS102" t="e">
        <f>AND(#REF!,"AAAAAHgt+Mg=")</f>
        <v>#REF!</v>
      </c>
      <c r="GT102" t="e">
        <f>IF(#REF!,"AAAAAHgt+Mk=",0)</f>
        <v>#REF!</v>
      </c>
      <c r="GU102" t="e">
        <f>AND(#REF!,"AAAAAHgt+Mo=")</f>
        <v>#REF!</v>
      </c>
      <c r="GV102" t="e">
        <f>AND(#REF!,"AAAAAHgt+Ms=")</f>
        <v>#REF!</v>
      </c>
      <c r="GW102" t="e">
        <f>AND(#REF!,"AAAAAHgt+Mw=")</f>
        <v>#REF!</v>
      </c>
      <c r="GX102" t="e">
        <f>AND(#REF!,"AAAAAHgt+M0=")</f>
        <v>#REF!</v>
      </c>
      <c r="GY102" t="e">
        <f>AND(#REF!,"AAAAAHgt+M4=")</f>
        <v>#REF!</v>
      </c>
      <c r="GZ102" t="e">
        <f>AND(#REF!,"AAAAAHgt+M8=")</f>
        <v>#REF!</v>
      </c>
      <c r="HA102" t="e">
        <f>IF(#REF!,"AAAAAHgt+NA=",0)</f>
        <v>#REF!</v>
      </c>
      <c r="HB102" t="e">
        <f>AND(#REF!,"AAAAAHgt+NE=")</f>
        <v>#REF!</v>
      </c>
      <c r="HC102" t="e">
        <f>AND(#REF!,"AAAAAHgt+NI=")</f>
        <v>#REF!</v>
      </c>
      <c r="HD102" t="e">
        <f>AND(#REF!,"AAAAAHgt+NM=")</f>
        <v>#REF!</v>
      </c>
      <c r="HE102" t="e">
        <f>AND(#REF!,"AAAAAHgt+NQ=")</f>
        <v>#REF!</v>
      </c>
      <c r="HF102" t="e">
        <f>AND(#REF!,"AAAAAHgt+NU=")</f>
        <v>#REF!</v>
      </c>
      <c r="HG102" t="e">
        <f>AND(#REF!,"AAAAAHgt+NY=")</f>
        <v>#REF!</v>
      </c>
      <c r="HH102" t="e">
        <f>IF(#REF!,"AAAAAHgt+Nc=",0)</f>
        <v>#REF!</v>
      </c>
      <c r="HI102" t="e">
        <f>AND(#REF!,"AAAAAHgt+Ng=")</f>
        <v>#REF!</v>
      </c>
      <c r="HJ102" t="e">
        <f>AND(#REF!,"AAAAAHgt+Nk=")</f>
        <v>#REF!</v>
      </c>
      <c r="HK102" t="e">
        <f>AND(#REF!,"AAAAAHgt+No=")</f>
        <v>#REF!</v>
      </c>
      <c r="HL102" t="e">
        <f>AND(#REF!,"AAAAAHgt+Ns=")</f>
        <v>#REF!</v>
      </c>
      <c r="HM102" t="e">
        <f>AND(#REF!,"AAAAAHgt+Nw=")</f>
        <v>#REF!</v>
      </c>
      <c r="HN102" t="e">
        <f>AND(#REF!,"AAAAAHgt+N0=")</f>
        <v>#REF!</v>
      </c>
      <c r="HO102" t="e">
        <f>IF(#REF!,"AAAAAHgt+N4=",0)</f>
        <v>#REF!</v>
      </c>
      <c r="HP102" t="e">
        <f>AND(#REF!,"AAAAAHgt+N8=")</f>
        <v>#REF!</v>
      </c>
      <c r="HQ102" t="e">
        <f>AND(#REF!,"AAAAAHgt+OA=")</f>
        <v>#REF!</v>
      </c>
      <c r="HR102" t="e">
        <f>AND(#REF!,"AAAAAHgt+OE=")</f>
        <v>#REF!</v>
      </c>
      <c r="HS102" t="e">
        <f>AND(#REF!,"AAAAAHgt+OI=")</f>
        <v>#REF!</v>
      </c>
      <c r="HT102" t="e">
        <f>AND(#REF!,"AAAAAHgt+OM=")</f>
        <v>#REF!</v>
      </c>
      <c r="HU102" t="e">
        <f>AND(#REF!,"AAAAAHgt+OQ=")</f>
        <v>#REF!</v>
      </c>
      <c r="HV102" t="e">
        <f>IF(#REF!,"AAAAAHgt+OU=",0)</f>
        <v>#REF!</v>
      </c>
      <c r="HW102" t="e">
        <f>AND(#REF!,"AAAAAHgt+OY=")</f>
        <v>#REF!</v>
      </c>
      <c r="HX102" t="e">
        <f>AND(#REF!,"AAAAAHgt+Oc=")</f>
        <v>#REF!</v>
      </c>
      <c r="HY102" t="e">
        <f>AND(#REF!,"AAAAAHgt+Og=")</f>
        <v>#REF!</v>
      </c>
      <c r="HZ102" t="e">
        <f>AND(#REF!,"AAAAAHgt+Ok=")</f>
        <v>#REF!</v>
      </c>
      <c r="IA102" t="e">
        <f>AND(#REF!,"AAAAAHgt+Oo=")</f>
        <v>#REF!</v>
      </c>
      <c r="IB102" t="e">
        <f>AND(#REF!,"AAAAAHgt+Os=")</f>
        <v>#REF!</v>
      </c>
      <c r="IC102" t="e">
        <f>IF(#REF!,"AAAAAHgt+Ow=",0)</f>
        <v>#REF!</v>
      </c>
      <c r="ID102" t="e">
        <f>AND(#REF!,"AAAAAHgt+O0=")</f>
        <v>#REF!</v>
      </c>
      <c r="IE102" t="e">
        <f>AND(#REF!,"AAAAAHgt+O4=")</f>
        <v>#REF!</v>
      </c>
      <c r="IF102" t="e">
        <f>AND(#REF!,"AAAAAHgt+O8=")</f>
        <v>#REF!</v>
      </c>
      <c r="IG102" t="e">
        <f>AND(#REF!,"AAAAAHgt+PA=")</f>
        <v>#REF!</v>
      </c>
      <c r="IH102" t="e">
        <f>AND(#REF!,"AAAAAHgt+PE=")</f>
        <v>#REF!</v>
      </c>
      <c r="II102" t="e">
        <f>AND(#REF!,"AAAAAHgt+PI=")</f>
        <v>#REF!</v>
      </c>
      <c r="IJ102" t="e">
        <f>IF(#REF!,"AAAAAHgt+PM=",0)</f>
        <v>#REF!</v>
      </c>
      <c r="IK102" t="e">
        <f>AND(#REF!,"AAAAAHgt+PQ=")</f>
        <v>#REF!</v>
      </c>
      <c r="IL102" t="e">
        <f>AND(#REF!,"AAAAAHgt+PU=")</f>
        <v>#REF!</v>
      </c>
      <c r="IM102" t="e">
        <f>AND(#REF!,"AAAAAHgt+PY=")</f>
        <v>#REF!</v>
      </c>
      <c r="IN102" t="e">
        <f>AND(#REF!,"AAAAAHgt+Pc=")</f>
        <v>#REF!</v>
      </c>
      <c r="IO102" t="e">
        <f>AND(#REF!,"AAAAAHgt+Pg=")</f>
        <v>#REF!</v>
      </c>
      <c r="IP102" t="e">
        <f>AND(#REF!,"AAAAAHgt+Pk=")</f>
        <v>#REF!</v>
      </c>
      <c r="IQ102" t="e">
        <f>IF(#REF!,"AAAAAHgt+Po=",0)</f>
        <v>#REF!</v>
      </c>
      <c r="IR102" t="e">
        <f>AND(#REF!,"AAAAAHgt+Ps=")</f>
        <v>#REF!</v>
      </c>
      <c r="IS102" t="e">
        <f>AND(#REF!,"AAAAAHgt+Pw=")</f>
        <v>#REF!</v>
      </c>
      <c r="IT102" t="e">
        <f>AND(#REF!,"AAAAAHgt+P0=")</f>
        <v>#REF!</v>
      </c>
      <c r="IU102" t="e">
        <f>AND(#REF!,"AAAAAHgt+P4=")</f>
        <v>#REF!</v>
      </c>
      <c r="IV102" t="e">
        <f>AND(#REF!,"AAAAAHgt+P8=")</f>
        <v>#REF!</v>
      </c>
    </row>
    <row r="103" spans="1:256" x14ac:dyDescent="0.15">
      <c r="A103" t="e">
        <f>AND(#REF!,"AAAAAH9//gA=")</f>
        <v>#REF!</v>
      </c>
      <c r="B103" t="e">
        <f>IF(#REF!,"AAAAAH9//gE=",0)</f>
        <v>#REF!</v>
      </c>
      <c r="C103" t="e">
        <f>AND(#REF!,"AAAAAH9//gI=")</f>
        <v>#REF!</v>
      </c>
      <c r="D103" t="e">
        <f>AND(#REF!,"AAAAAH9//gM=")</f>
        <v>#REF!</v>
      </c>
      <c r="E103" t="e">
        <f>AND(#REF!,"AAAAAH9//gQ=")</f>
        <v>#REF!</v>
      </c>
      <c r="F103" t="e">
        <f>AND(#REF!,"AAAAAH9//gU=")</f>
        <v>#REF!</v>
      </c>
      <c r="G103" t="e">
        <f>AND(#REF!,"AAAAAH9//gY=")</f>
        <v>#REF!</v>
      </c>
      <c r="H103" t="e">
        <f>AND(#REF!,"AAAAAH9//gc=")</f>
        <v>#REF!</v>
      </c>
      <c r="I103" t="e">
        <f>IF(#REF!,"AAAAAH9//gg=",0)</f>
        <v>#REF!</v>
      </c>
      <c r="J103" t="e">
        <f>AND(#REF!,"AAAAAH9//gk=")</f>
        <v>#REF!</v>
      </c>
      <c r="K103" t="e">
        <f>AND(#REF!,"AAAAAH9//go=")</f>
        <v>#REF!</v>
      </c>
      <c r="L103" t="e">
        <f>AND(#REF!,"AAAAAH9//gs=")</f>
        <v>#REF!</v>
      </c>
      <c r="M103" t="e">
        <f>AND(#REF!,"AAAAAH9//gw=")</f>
        <v>#REF!</v>
      </c>
      <c r="N103" t="e">
        <f>AND(#REF!,"AAAAAH9//g0=")</f>
        <v>#REF!</v>
      </c>
      <c r="O103" t="e">
        <f>AND(#REF!,"AAAAAH9//g4=")</f>
        <v>#REF!</v>
      </c>
      <c r="P103" t="e">
        <f>IF(#REF!,"AAAAAH9//g8=",0)</f>
        <v>#REF!</v>
      </c>
      <c r="Q103" t="e">
        <f>AND(#REF!,"AAAAAH9//hA=")</f>
        <v>#REF!</v>
      </c>
      <c r="R103" t="e">
        <f>AND(#REF!,"AAAAAH9//hE=")</f>
        <v>#REF!</v>
      </c>
      <c r="S103" t="e">
        <f>AND(#REF!,"AAAAAH9//hI=")</f>
        <v>#REF!</v>
      </c>
      <c r="T103" t="e">
        <f>AND(#REF!,"AAAAAH9//hM=")</f>
        <v>#REF!</v>
      </c>
      <c r="U103" t="e">
        <f>AND(#REF!,"AAAAAH9//hQ=")</f>
        <v>#REF!</v>
      </c>
      <c r="V103" t="e">
        <f>AND(#REF!,"AAAAAH9//hU=")</f>
        <v>#REF!</v>
      </c>
      <c r="W103" t="e">
        <f>IF(#REF!,"AAAAAH9//hY=",0)</f>
        <v>#REF!</v>
      </c>
      <c r="X103" t="e">
        <f>AND(#REF!,"AAAAAH9//hc=")</f>
        <v>#REF!</v>
      </c>
      <c r="Y103" t="e">
        <f>AND(#REF!,"AAAAAH9//hg=")</f>
        <v>#REF!</v>
      </c>
      <c r="Z103" t="e">
        <f>AND(#REF!,"AAAAAH9//hk=")</f>
        <v>#REF!</v>
      </c>
      <c r="AA103" t="e">
        <f>AND(#REF!,"AAAAAH9//ho=")</f>
        <v>#REF!</v>
      </c>
      <c r="AB103" t="e">
        <f>AND(#REF!,"AAAAAH9//hs=")</f>
        <v>#REF!</v>
      </c>
      <c r="AC103" t="e">
        <f>AND(#REF!,"AAAAAH9//hw=")</f>
        <v>#REF!</v>
      </c>
      <c r="AD103" t="e">
        <f>IF(#REF!,"AAAAAH9//h0=",0)</f>
        <v>#REF!</v>
      </c>
      <c r="AE103" t="e">
        <f>AND(#REF!,"AAAAAH9//h4=")</f>
        <v>#REF!</v>
      </c>
      <c r="AF103" t="e">
        <f>AND(#REF!,"AAAAAH9//h8=")</f>
        <v>#REF!</v>
      </c>
      <c r="AG103" t="e">
        <f>AND(#REF!,"AAAAAH9//iA=")</f>
        <v>#REF!</v>
      </c>
      <c r="AH103" t="e">
        <f>AND(#REF!,"AAAAAH9//iE=")</f>
        <v>#REF!</v>
      </c>
      <c r="AI103" t="e">
        <f>AND(#REF!,"AAAAAH9//iI=")</f>
        <v>#REF!</v>
      </c>
      <c r="AJ103" t="e">
        <f>AND(#REF!,"AAAAAH9//iM=")</f>
        <v>#REF!</v>
      </c>
      <c r="AK103" t="e">
        <f>IF(#REF!,"AAAAAH9//iQ=",0)</f>
        <v>#REF!</v>
      </c>
      <c r="AL103" t="e">
        <f>AND(#REF!,"AAAAAH9//iU=")</f>
        <v>#REF!</v>
      </c>
      <c r="AM103" t="e">
        <f>AND(#REF!,"AAAAAH9//iY=")</f>
        <v>#REF!</v>
      </c>
      <c r="AN103" t="e">
        <f>AND(#REF!,"AAAAAH9//ic=")</f>
        <v>#REF!</v>
      </c>
      <c r="AO103" t="e">
        <f>AND(#REF!,"AAAAAH9//ig=")</f>
        <v>#REF!</v>
      </c>
      <c r="AP103" t="e">
        <f>AND(#REF!,"AAAAAH9//ik=")</f>
        <v>#REF!</v>
      </c>
      <c r="AQ103" t="e">
        <f>AND(#REF!,"AAAAAH9//io=")</f>
        <v>#REF!</v>
      </c>
      <c r="AR103" t="e">
        <f>IF(#REF!,"AAAAAH9//is=",0)</f>
        <v>#REF!</v>
      </c>
      <c r="AS103" t="e">
        <f>AND(#REF!,"AAAAAH9//iw=")</f>
        <v>#REF!</v>
      </c>
      <c r="AT103" t="e">
        <f>AND(#REF!,"AAAAAH9//i0=")</f>
        <v>#REF!</v>
      </c>
      <c r="AU103" t="e">
        <f>AND(#REF!,"AAAAAH9//i4=")</f>
        <v>#REF!</v>
      </c>
      <c r="AV103" t="e">
        <f>AND(#REF!,"AAAAAH9//i8=")</f>
        <v>#REF!</v>
      </c>
      <c r="AW103" t="e">
        <f>AND(#REF!,"AAAAAH9//jA=")</f>
        <v>#REF!</v>
      </c>
      <c r="AX103" t="e">
        <f>AND(#REF!,"AAAAAH9//jE=")</f>
        <v>#REF!</v>
      </c>
      <c r="AY103" t="e">
        <f>IF(#REF!,"AAAAAH9//jI=",0)</f>
        <v>#REF!</v>
      </c>
      <c r="AZ103" t="e">
        <f>AND(#REF!,"AAAAAH9//jM=")</f>
        <v>#REF!</v>
      </c>
      <c r="BA103" t="e">
        <f>AND(#REF!,"AAAAAH9//jQ=")</f>
        <v>#REF!</v>
      </c>
      <c r="BB103" t="e">
        <f>AND(#REF!,"AAAAAH9//jU=")</f>
        <v>#REF!</v>
      </c>
      <c r="BC103" t="e">
        <f>AND(#REF!,"AAAAAH9//jY=")</f>
        <v>#REF!</v>
      </c>
      <c r="BD103" t="e">
        <f>AND(#REF!,"AAAAAH9//jc=")</f>
        <v>#REF!</v>
      </c>
      <c r="BE103" t="e">
        <f>AND(#REF!,"AAAAAH9//jg=")</f>
        <v>#REF!</v>
      </c>
      <c r="BF103" t="e">
        <f>IF(#REF!,"AAAAAH9//jk=",0)</f>
        <v>#REF!</v>
      </c>
      <c r="BG103" t="e">
        <f>AND(#REF!,"AAAAAH9//jo=")</f>
        <v>#REF!</v>
      </c>
      <c r="BH103" t="e">
        <f>AND(#REF!,"AAAAAH9//js=")</f>
        <v>#REF!</v>
      </c>
      <c r="BI103" t="e">
        <f>AND(#REF!,"AAAAAH9//jw=")</f>
        <v>#REF!</v>
      </c>
      <c r="BJ103" t="e">
        <f>AND(#REF!,"AAAAAH9//j0=")</f>
        <v>#REF!</v>
      </c>
      <c r="BK103" t="e">
        <f>AND(#REF!,"AAAAAH9//j4=")</f>
        <v>#REF!</v>
      </c>
      <c r="BL103" t="e">
        <f>AND(#REF!,"AAAAAH9//j8=")</f>
        <v>#REF!</v>
      </c>
      <c r="BM103" t="e">
        <f>IF(#REF!,"AAAAAH9//kA=",0)</f>
        <v>#REF!</v>
      </c>
      <c r="BN103" t="e">
        <f>AND(#REF!,"AAAAAH9//kE=")</f>
        <v>#REF!</v>
      </c>
      <c r="BO103" t="e">
        <f>AND(#REF!,"AAAAAH9//kI=")</f>
        <v>#REF!</v>
      </c>
      <c r="BP103" t="e">
        <f>AND(#REF!,"AAAAAH9//kM=")</f>
        <v>#REF!</v>
      </c>
      <c r="BQ103" t="e">
        <f>AND(#REF!,"AAAAAH9//kQ=")</f>
        <v>#REF!</v>
      </c>
      <c r="BR103" t="e">
        <f>AND(#REF!,"AAAAAH9//kU=")</f>
        <v>#REF!</v>
      </c>
      <c r="BS103" t="e">
        <f>AND(#REF!,"AAAAAH9//kY=")</f>
        <v>#REF!</v>
      </c>
      <c r="BT103" t="e">
        <f>IF(#REF!,"AAAAAH9//kc=",0)</f>
        <v>#REF!</v>
      </c>
      <c r="BU103" t="e">
        <f>AND(#REF!,"AAAAAH9//kg=")</f>
        <v>#REF!</v>
      </c>
      <c r="BV103" t="e">
        <f>AND(#REF!,"AAAAAH9//kk=")</f>
        <v>#REF!</v>
      </c>
      <c r="BW103" t="e">
        <f>AND(#REF!,"AAAAAH9//ko=")</f>
        <v>#REF!</v>
      </c>
      <c r="BX103" t="e">
        <f>AND(#REF!,"AAAAAH9//ks=")</f>
        <v>#REF!</v>
      </c>
      <c r="BY103" t="e">
        <f>AND(#REF!,"AAAAAH9//kw=")</f>
        <v>#REF!</v>
      </c>
      <c r="BZ103" t="e">
        <f>AND(#REF!,"AAAAAH9//k0=")</f>
        <v>#REF!</v>
      </c>
      <c r="CA103" t="e">
        <f>IF(#REF!,"AAAAAH9//k4=",0)</f>
        <v>#REF!</v>
      </c>
      <c r="CB103" t="e">
        <f>AND(#REF!,"AAAAAH9//k8=")</f>
        <v>#REF!</v>
      </c>
      <c r="CC103" t="e">
        <f>AND(#REF!,"AAAAAH9//lA=")</f>
        <v>#REF!</v>
      </c>
      <c r="CD103" t="e">
        <f>AND(#REF!,"AAAAAH9//lE=")</f>
        <v>#REF!</v>
      </c>
      <c r="CE103" t="e">
        <f>AND(#REF!,"AAAAAH9//lI=")</f>
        <v>#REF!</v>
      </c>
      <c r="CF103" t="e">
        <f>AND(#REF!,"AAAAAH9//lM=")</f>
        <v>#REF!</v>
      </c>
      <c r="CG103" t="e">
        <f>AND(#REF!,"AAAAAH9//lQ=")</f>
        <v>#REF!</v>
      </c>
      <c r="CH103" t="e">
        <f>IF(#REF!,"AAAAAH9//lU=",0)</f>
        <v>#REF!</v>
      </c>
      <c r="CI103" t="e">
        <f>AND(#REF!,"AAAAAH9//lY=")</f>
        <v>#REF!</v>
      </c>
      <c r="CJ103" t="e">
        <f>AND(#REF!,"AAAAAH9//lc=")</f>
        <v>#REF!</v>
      </c>
      <c r="CK103" t="e">
        <f>AND(#REF!,"AAAAAH9//lg=")</f>
        <v>#REF!</v>
      </c>
      <c r="CL103" t="e">
        <f>AND(#REF!,"AAAAAH9//lk=")</f>
        <v>#REF!</v>
      </c>
      <c r="CM103" t="e">
        <f>AND(#REF!,"AAAAAH9//lo=")</f>
        <v>#REF!</v>
      </c>
      <c r="CN103" t="e">
        <f>AND(#REF!,"AAAAAH9//ls=")</f>
        <v>#REF!</v>
      </c>
      <c r="CO103" t="e">
        <f>IF(#REF!,"AAAAAH9//lw=",0)</f>
        <v>#REF!</v>
      </c>
      <c r="CP103" t="e">
        <f>AND(#REF!,"AAAAAH9//l0=")</f>
        <v>#REF!</v>
      </c>
      <c r="CQ103" t="e">
        <f>AND(#REF!,"AAAAAH9//l4=")</f>
        <v>#REF!</v>
      </c>
      <c r="CR103" t="e">
        <f>AND(#REF!,"AAAAAH9//l8=")</f>
        <v>#REF!</v>
      </c>
      <c r="CS103" t="e">
        <f>AND(#REF!,"AAAAAH9//mA=")</f>
        <v>#REF!</v>
      </c>
      <c r="CT103" t="e">
        <f>AND(#REF!,"AAAAAH9//mE=")</f>
        <v>#REF!</v>
      </c>
      <c r="CU103" t="e">
        <f>AND(#REF!,"AAAAAH9//mI=")</f>
        <v>#REF!</v>
      </c>
      <c r="CV103" t="e">
        <f>IF(#REF!,"AAAAAH9//mM=",0)</f>
        <v>#REF!</v>
      </c>
      <c r="CW103" t="e">
        <f>AND(#REF!,"AAAAAH9//mQ=")</f>
        <v>#REF!</v>
      </c>
      <c r="CX103" t="e">
        <f>AND(#REF!,"AAAAAH9//mU=")</f>
        <v>#REF!</v>
      </c>
      <c r="CY103" t="e">
        <f>AND(#REF!,"AAAAAH9//mY=")</f>
        <v>#REF!</v>
      </c>
      <c r="CZ103" t="e">
        <f>AND(#REF!,"AAAAAH9//mc=")</f>
        <v>#REF!</v>
      </c>
      <c r="DA103" t="e">
        <f>AND(#REF!,"AAAAAH9//mg=")</f>
        <v>#REF!</v>
      </c>
      <c r="DB103" t="e">
        <f>AND(#REF!,"AAAAAH9//mk=")</f>
        <v>#REF!</v>
      </c>
      <c r="DC103" t="e">
        <f>IF(#REF!,"AAAAAH9//mo=",0)</f>
        <v>#REF!</v>
      </c>
      <c r="DD103" t="e">
        <f>AND(#REF!,"AAAAAH9//ms=")</f>
        <v>#REF!</v>
      </c>
      <c r="DE103" t="e">
        <f>AND(#REF!,"AAAAAH9//mw=")</f>
        <v>#REF!</v>
      </c>
      <c r="DF103" t="e">
        <f>AND(#REF!,"AAAAAH9//m0=")</f>
        <v>#REF!</v>
      </c>
      <c r="DG103" t="e">
        <f>AND(#REF!,"AAAAAH9//m4=")</f>
        <v>#REF!</v>
      </c>
      <c r="DH103" t="e">
        <f>AND(#REF!,"AAAAAH9//m8=")</f>
        <v>#REF!</v>
      </c>
      <c r="DI103" t="e">
        <f>AND(#REF!,"AAAAAH9//nA=")</f>
        <v>#REF!</v>
      </c>
      <c r="DJ103" t="e">
        <f>IF(#REF!,"AAAAAH9//nE=",0)</f>
        <v>#REF!</v>
      </c>
      <c r="DK103" t="e">
        <f>AND(#REF!,"AAAAAH9//nI=")</f>
        <v>#REF!</v>
      </c>
      <c r="DL103" t="e">
        <f>AND(#REF!,"AAAAAH9//nM=")</f>
        <v>#REF!</v>
      </c>
      <c r="DM103" t="e">
        <f>AND(#REF!,"AAAAAH9//nQ=")</f>
        <v>#REF!</v>
      </c>
      <c r="DN103" t="e">
        <f>AND(#REF!,"AAAAAH9//nU=")</f>
        <v>#REF!</v>
      </c>
      <c r="DO103" t="e">
        <f>AND(#REF!,"AAAAAH9//nY=")</f>
        <v>#REF!</v>
      </c>
      <c r="DP103" t="e">
        <f>AND(#REF!,"AAAAAH9//nc=")</f>
        <v>#REF!</v>
      </c>
      <c r="DQ103" t="e">
        <f>IF(#REF!,"AAAAAH9//ng=",0)</f>
        <v>#REF!</v>
      </c>
      <c r="DR103" t="e">
        <f>AND(#REF!,"AAAAAH9//nk=")</f>
        <v>#REF!</v>
      </c>
      <c r="DS103" t="e">
        <f>AND(#REF!,"AAAAAH9//no=")</f>
        <v>#REF!</v>
      </c>
      <c r="DT103" t="e">
        <f>AND(#REF!,"AAAAAH9//ns=")</f>
        <v>#REF!</v>
      </c>
      <c r="DU103" t="e">
        <f>AND(#REF!,"AAAAAH9//nw=")</f>
        <v>#REF!</v>
      </c>
      <c r="DV103" t="e">
        <f>AND(#REF!,"AAAAAH9//n0=")</f>
        <v>#REF!</v>
      </c>
      <c r="DW103" t="e">
        <f>AND(#REF!,"AAAAAH9//n4=")</f>
        <v>#REF!</v>
      </c>
      <c r="DX103" t="e">
        <f>IF(#REF!,"AAAAAH9//n8=",0)</f>
        <v>#REF!</v>
      </c>
      <c r="DY103" t="e">
        <f>AND(#REF!,"AAAAAH9//oA=")</f>
        <v>#REF!</v>
      </c>
      <c r="DZ103" t="e">
        <f>AND(#REF!,"AAAAAH9//oE=")</f>
        <v>#REF!</v>
      </c>
      <c r="EA103" t="e">
        <f>AND(#REF!,"AAAAAH9//oI=")</f>
        <v>#REF!</v>
      </c>
      <c r="EB103" t="e">
        <f>AND(#REF!,"AAAAAH9//oM=")</f>
        <v>#REF!</v>
      </c>
      <c r="EC103" t="e">
        <f>AND(#REF!,"AAAAAH9//oQ=")</f>
        <v>#REF!</v>
      </c>
      <c r="ED103" t="e">
        <f>AND(#REF!,"AAAAAH9//oU=")</f>
        <v>#REF!</v>
      </c>
      <c r="EE103" t="e">
        <f>IF(#REF!,"AAAAAH9//oY=",0)</f>
        <v>#REF!</v>
      </c>
      <c r="EF103" t="e">
        <f>AND(#REF!,"AAAAAH9//oc=")</f>
        <v>#REF!</v>
      </c>
      <c r="EG103" t="e">
        <f>AND(#REF!,"AAAAAH9//og=")</f>
        <v>#REF!</v>
      </c>
      <c r="EH103" t="e">
        <f>AND(#REF!,"AAAAAH9//ok=")</f>
        <v>#REF!</v>
      </c>
      <c r="EI103" t="e">
        <f>AND(#REF!,"AAAAAH9//oo=")</f>
        <v>#REF!</v>
      </c>
      <c r="EJ103" t="e">
        <f>AND(#REF!,"AAAAAH9//os=")</f>
        <v>#REF!</v>
      </c>
      <c r="EK103" t="e">
        <f>AND(#REF!,"AAAAAH9//ow=")</f>
        <v>#REF!</v>
      </c>
      <c r="EL103" t="e">
        <f>IF(#REF!,"AAAAAH9//o0=",0)</f>
        <v>#REF!</v>
      </c>
      <c r="EM103" t="e">
        <f>AND(#REF!,"AAAAAH9//o4=")</f>
        <v>#REF!</v>
      </c>
      <c r="EN103" t="e">
        <f>AND(#REF!,"AAAAAH9//o8=")</f>
        <v>#REF!</v>
      </c>
      <c r="EO103" t="e">
        <f>AND(#REF!,"AAAAAH9//pA=")</f>
        <v>#REF!</v>
      </c>
      <c r="EP103" t="e">
        <f>AND(#REF!,"AAAAAH9//pE=")</f>
        <v>#REF!</v>
      </c>
      <c r="EQ103" t="e">
        <f>AND(#REF!,"AAAAAH9//pI=")</f>
        <v>#REF!</v>
      </c>
      <c r="ER103" t="e">
        <f>AND(#REF!,"AAAAAH9//pM=")</f>
        <v>#REF!</v>
      </c>
      <c r="ES103" t="e">
        <f>IF(#REF!,"AAAAAH9//pQ=",0)</f>
        <v>#REF!</v>
      </c>
      <c r="ET103" t="e">
        <f>AND(#REF!,"AAAAAH9//pU=")</f>
        <v>#REF!</v>
      </c>
      <c r="EU103" t="e">
        <f>AND(#REF!,"AAAAAH9//pY=")</f>
        <v>#REF!</v>
      </c>
      <c r="EV103" t="e">
        <f>AND(#REF!,"AAAAAH9//pc=")</f>
        <v>#REF!</v>
      </c>
      <c r="EW103" t="e">
        <f>AND(#REF!,"AAAAAH9//pg=")</f>
        <v>#REF!</v>
      </c>
      <c r="EX103" t="e">
        <f>AND(#REF!,"AAAAAH9//pk=")</f>
        <v>#REF!</v>
      </c>
      <c r="EY103" t="e">
        <f>AND(#REF!,"AAAAAH9//po=")</f>
        <v>#REF!</v>
      </c>
      <c r="EZ103" t="e">
        <f>IF(#REF!,"AAAAAH9//ps=",0)</f>
        <v>#REF!</v>
      </c>
      <c r="FA103" t="e">
        <f>AND(#REF!,"AAAAAH9//pw=")</f>
        <v>#REF!</v>
      </c>
      <c r="FB103" t="e">
        <f>AND(#REF!,"AAAAAH9//p0=")</f>
        <v>#REF!</v>
      </c>
      <c r="FC103" t="e">
        <f>AND(#REF!,"AAAAAH9//p4=")</f>
        <v>#REF!</v>
      </c>
      <c r="FD103" t="e">
        <f>AND(#REF!,"AAAAAH9//p8=")</f>
        <v>#REF!</v>
      </c>
      <c r="FE103" t="e">
        <f>AND(#REF!,"AAAAAH9//qA=")</f>
        <v>#REF!</v>
      </c>
      <c r="FF103" t="e">
        <f>AND(#REF!,"AAAAAH9//qE=")</f>
        <v>#REF!</v>
      </c>
      <c r="FG103" t="e">
        <f>IF(#REF!,"AAAAAH9//qI=",0)</f>
        <v>#REF!</v>
      </c>
      <c r="FH103" t="e">
        <f>AND(#REF!,"AAAAAH9//qM=")</f>
        <v>#REF!</v>
      </c>
      <c r="FI103" t="e">
        <f>AND(#REF!,"AAAAAH9//qQ=")</f>
        <v>#REF!</v>
      </c>
      <c r="FJ103" t="e">
        <f>AND(#REF!,"AAAAAH9//qU=")</f>
        <v>#REF!</v>
      </c>
      <c r="FK103" t="e">
        <f>AND(#REF!,"AAAAAH9//qY=")</f>
        <v>#REF!</v>
      </c>
      <c r="FL103" t="e">
        <f>AND(#REF!,"AAAAAH9//qc=")</f>
        <v>#REF!</v>
      </c>
      <c r="FM103" t="e">
        <f>AND(#REF!,"AAAAAH9//qg=")</f>
        <v>#REF!</v>
      </c>
      <c r="FN103" t="e">
        <f>IF(#REF!,"AAAAAH9//qk=",0)</f>
        <v>#REF!</v>
      </c>
      <c r="FO103" t="e">
        <f>AND(#REF!,"AAAAAH9//qo=")</f>
        <v>#REF!</v>
      </c>
      <c r="FP103" t="e">
        <f>AND(#REF!,"AAAAAH9//qs=")</f>
        <v>#REF!</v>
      </c>
      <c r="FQ103" t="e">
        <f>AND(#REF!,"AAAAAH9//qw=")</f>
        <v>#REF!</v>
      </c>
      <c r="FR103" t="e">
        <f>AND(#REF!,"AAAAAH9//q0=")</f>
        <v>#REF!</v>
      </c>
      <c r="FS103" t="e">
        <f>AND(#REF!,"AAAAAH9//q4=")</f>
        <v>#REF!</v>
      </c>
      <c r="FT103" t="e">
        <f>AND(#REF!,"AAAAAH9//q8=")</f>
        <v>#REF!</v>
      </c>
      <c r="FU103" t="e">
        <f>IF(#REF!,"AAAAAH9//rA=",0)</f>
        <v>#REF!</v>
      </c>
      <c r="FV103" t="e">
        <f>AND(#REF!,"AAAAAH9//rE=")</f>
        <v>#REF!</v>
      </c>
      <c r="FW103" t="e">
        <f>AND(#REF!,"AAAAAH9//rI=")</f>
        <v>#REF!</v>
      </c>
      <c r="FX103" t="e">
        <f>AND(#REF!,"AAAAAH9//rM=")</f>
        <v>#REF!</v>
      </c>
      <c r="FY103" t="e">
        <f>AND(#REF!,"AAAAAH9//rQ=")</f>
        <v>#REF!</v>
      </c>
      <c r="FZ103" t="e">
        <f>AND(#REF!,"AAAAAH9//rU=")</f>
        <v>#REF!</v>
      </c>
      <c r="GA103" t="e">
        <f>AND(#REF!,"AAAAAH9//rY=")</f>
        <v>#REF!</v>
      </c>
      <c r="GB103" t="e">
        <f>IF(#REF!,"AAAAAH9//rc=",0)</f>
        <v>#REF!</v>
      </c>
      <c r="GC103" t="e">
        <f>AND(#REF!,"AAAAAH9//rg=")</f>
        <v>#REF!</v>
      </c>
      <c r="GD103" t="e">
        <f>AND(#REF!,"AAAAAH9//rk=")</f>
        <v>#REF!</v>
      </c>
      <c r="GE103" t="e">
        <f>AND(#REF!,"AAAAAH9//ro=")</f>
        <v>#REF!</v>
      </c>
      <c r="GF103" t="e">
        <f>AND(#REF!,"AAAAAH9//rs=")</f>
        <v>#REF!</v>
      </c>
      <c r="GG103" t="e">
        <f>AND(#REF!,"AAAAAH9//rw=")</f>
        <v>#REF!</v>
      </c>
      <c r="GH103" t="e">
        <f>AND(#REF!,"AAAAAH9//r0=")</f>
        <v>#REF!</v>
      </c>
      <c r="GI103" t="e">
        <f>IF(#REF!,"AAAAAH9//r4=",0)</f>
        <v>#REF!</v>
      </c>
      <c r="GJ103" t="e">
        <f>AND(#REF!,"AAAAAH9//r8=")</f>
        <v>#REF!</v>
      </c>
      <c r="GK103" t="e">
        <f>AND(#REF!,"AAAAAH9//sA=")</f>
        <v>#REF!</v>
      </c>
      <c r="GL103" t="e">
        <f>AND(#REF!,"AAAAAH9//sE=")</f>
        <v>#REF!</v>
      </c>
      <c r="GM103" t="e">
        <f>AND(#REF!,"AAAAAH9//sI=")</f>
        <v>#REF!</v>
      </c>
      <c r="GN103" t="e">
        <f>AND(#REF!,"AAAAAH9//sM=")</f>
        <v>#REF!</v>
      </c>
      <c r="GO103" t="e">
        <f>AND(#REF!,"AAAAAH9//sQ=")</f>
        <v>#REF!</v>
      </c>
      <c r="GP103" t="e">
        <f>IF(#REF!,"AAAAAH9//sU=",0)</f>
        <v>#REF!</v>
      </c>
      <c r="GQ103" t="e">
        <f>AND(#REF!,"AAAAAH9//sY=")</f>
        <v>#REF!</v>
      </c>
      <c r="GR103" t="e">
        <f>AND(#REF!,"AAAAAH9//sc=")</f>
        <v>#REF!</v>
      </c>
      <c r="GS103" t="e">
        <f>AND(#REF!,"AAAAAH9//sg=")</f>
        <v>#REF!</v>
      </c>
      <c r="GT103" t="e">
        <f>AND(#REF!,"AAAAAH9//sk=")</f>
        <v>#REF!</v>
      </c>
      <c r="GU103" t="e">
        <f>AND(#REF!,"AAAAAH9//so=")</f>
        <v>#REF!</v>
      </c>
      <c r="GV103" t="e">
        <f>AND(#REF!,"AAAAAH9//ss=")</f>
        <v>#REF!</v>
      </c>
      <c r="GW103" t="e">
        <f>IF(#REF!,"AAAAAH9//sw=",0)</f>
        <v>#REF!</v>
      </c>
      <c r="GX103" t="e">
        <f>AND(#REF!,"AAAAAH9//s0=")</f>
        <v>#REF!</v>
      </c>
      <c r="GY103" t="e">
        <f>AND(#REF!,"AAAAAH9//s4=")</f>
        <v>#REF!</v>
      </c>
      <c r="GZ103" t="e">
        <f>AND(#REF!,"AAAAAH9//s8=")</f>
        <v>#REF!</v>
      </c>
      <c r="HA103" t="e">
        <f>AND(#REF!,"AAAAAH9//tA=")</f>
        <v>#REF!</v>
      </c>
      <c r="HB103" t="e">
        <f>AND(#REF!,"AAAAAH9//tE=")</f>
        <v>#REF!</v>
      </c>
      <c r="HC103" t="e">
        <f>AND(#REF!,"AAAAAH9//tI=")</f>
        <v>#REF!</v>
      </c>
      <c r="HD103" t="e">
        <f>IF(#REF!,"AAAAAH9//tM=",0)</f>
        <v>#REF!</v>
      </c>
      <c r="HE103" t="e">
        <f>AND(#REF!,"AAAAAH9//tQ=")</f>
        <v>#REF!</v>
      </c>
      <c r="HF103" t="e">
        <f>AND(#REF!,"AAAAAH9//tU=")</f>
        <v>#REF!</v>
      </c>
      <c r="HG103" t="e">
        <f>AND(#REF!,"AAAAAH9//tY=")</f>
        <v>#REF!</v>
      </c>
      <c r="HH103" t="e">
        <f>AND(#REF!,"AAAAAH9//tc=")</f>
        <v>#REF!</v>
      </c>
      <c r="HI103" t="e">
        <f>AND(#REF!,"AAAAAH9//tg=")</f>
        <v>#REF!</v>
      </c>
      <c r="HJ103" t="e">
        <f>AND(#REF!,"AAAAAH9//tk=")</f>
        <v>#REF!</v>
      </c>
      <c r="HK103" t="e">
        <f>IF(#REF!,"AAAAAH9//to=",0)</f>
        <v>#REF!</v>
      </c>
      <c r="HL103" t="e">
        <f>AND(#REF!,"AAAAAH9//ts=")</f>
        <v>#REF!</v>
      </c>
      <c r="HM103" t="e">
        <f>AND(#REF!,"AAAAAH9//tw=")</f>
        <v>#REF!</v>
      </c>
      <c r="HN103" t="e">
        <f>AND(#REF!,"AAAAAH9//t0=")</f>
        <v>#REF!</v>
      </c>
      <c r="HO103" t="e">
        <f>AND(#REF!,"AAAAAH9//t4=")</f>
        <v>#REF!</v>
      </c>
      <c r="HP103" t="e">
        <f>AND(#REF!,"AAAAAH9//t8=")</f>
        <v>#REF!</v>
      </c>
      <c r="HQ103" t="e">
        <f>AND(#REF!,"AAAAAH9//uA=")</f>
        <v>#REF!</v>
      </c>
      <c r="HR103" t="e">
        <f>IF(#REF!,"AAAAAH9//uE=",0)</f>
        <v>#REF!</v>
      </c>
      <c r="HS103" t="e">
        <f>AND(#REF!,"AAAAAH9//uI=")</f>
        <v>#REF!</v>
      </c>
      <c r="HT103" t="e">
        <f>AND(#REF!,"AAAAAH9//uM=")</f>
        <v>#REF!</v>
      </c>
      <c r="HU103" t="e">
        <f>AND(#REF!,"AAAAAH9//uQ=")</f>
        <v>#REF!</v>
      </c>
      <c r="HV103" t="e">
        <f>AND(#REF!,"AAAAAH9//uU=")</f>
        <v>#REF!</v>
      </c>
      <c r="HW103" t="e">
        <f>AND(#REF!,"AAAAAH9//uY=")</f>
        <v>#REF!</v>
      </c>
      <c r="HX103" t="e">
        <f>AND(#REF!,"AAAAAH9//uc=")</f>
        <v>#REF!</v>
      </c>
      <c r="HY103" t="e">
        <f>IF(#REF!,"AAAAAH9//ug=",0)</f>
        <v>#REF!</v>
      </c>
      <c r="HZ103" t="e">
        <f>AND(#REF!,"AAAAAH9//uk=")</f>
        <v>#REF!</v>
      </c>
      <c r="IA103" t="e">
        <f>AND(#REF!,"AAAAAH9//uo=")</f>
        <v>#REF!</v>
      </c>
      <c r="IB103" t="e">
        <f>AND(#REF!,"AAAAAH9//us=")</f>
        <v>#REF!</v>
      </c>
      <c r="IC103" t="e">
        <f>AND(#REF!,"AAAAAH9//uw=")</f>
        <v>#REF!</v>
      </c>
      <c r="ID103" t="e">
        <f>AND(#REF!,"AAAAAH9//u0=")</f>
        <v>#REF!</v>
      </c>
      <c r="IE103" t="e">
        <f>AND(#REF!,"AAAAAH9//u4=")</f>
        <v>#REF!</v>
      </c>
      <c r="IF103" t="e">
        <f>IF(#REF!,"AAAAAH9//u8=",0)</f>
        <v>#REF!</v>
      </c>
      <c r="IG103" t="e">
        <f>AND(#REF!,"AAAAAH9//vA=")</f>
        <v>#REF!</v>
      </c>
      <c r="IH103" t="e">
        <f>AND(#REF!,"AAAAAH9//vE=")</f>
        <v>#REF!</v>
      </c>
      <c r="II103" t="e">
        <f>AND(#REF!,"AAAAAH9//vI=")</f>
        <v>#REF!</v>
      </c>
      <c r="IJ103" t="e">
        <f>AND(#REF!,"AAAAAH9//vM=")</f>
        <v>#REF!</v>
      </c>
      <c r="IK103" t="e">
        <f>AND(#REF!,"AAAAAH9//vQ=")</f>
        <v>#REF!</v>
      </c>
      <c r="IL103" t="e">
        <f>AND(#REF!,"AAAAAH9//vU=")</f>
        <v>#REF!</v>
      </c>
      <c r="IM103" t="e">
        <f>IF(#REF!,"AAAAAH9//vY=",0)</f>
        <v>#REF!</v>
      </c>
      <c r="IN103" t="e">
        <f>AND(#REF!,"AAAAAH9//vc=")</f>
        <v>#REF!</v>
      </c>
      <c r="IO103" t="e">
        <f>AND(#REF!,"AAAAAH9//vg=")</f>
        <v>#REF!</v>
      </c>
      <c r="IP103" t="e">
        <f>AND(#REF!,"AAAAAH9//vk=")</f>
        <v>#REF!</v>
      </c>
      <c r="IQ103" t="e">
        <f>AND(#REF!,"AAAAAH9//vo=")</f>
        <v>#REF!</v>
      </c>
      <c r="IR103" t="e">
        <f>AND(#REF!,"AAAAAH9//vs=")</f>
        <v>#REF!</v>
      </c>
      <c r="IS103" t="e">
        <f>AND(#REF!,"AAAAAH9//vw=")</f>
        <v>#REF!</v>
      </c>
      <c r="IT103" t="e">
        <f>IF(#REF!,"AAAAAH9//v0=",0)</f>
        <v>#REF!</v>
      </c>
      <c r="IU103" t="e">
        <f>AND(#REF!,"AAAAAH9//v4=")</f>
        <v>#REF!</v>
      </c>
      <c r="IV103" t="e">
        <f>AND(#REF!,"AAAAAH9//v8=")</f>
        <v>#REF!</v>
      </c>
    </row>
    <row r="104" spans="1:256" x14ac:dyDescent="0.15">
      <c r="A104" t="e">
        <f>AND(#REF!,"AAAAAEv2hgA=")</f>
        <v>#REF!</v>
      </c>
      <c r="B104" t="e">
        <f>AND(#REF!,"AAAAAEv2hgE=")</f>
        <v>#REF!</v>
      </c>
      <c r="C104" t="e">
        <f>AND(#REF!,"AAAAAEv2hgI=")</f>
        <v>#REF!</v>
      </c>
      <c r="D104" t="e">
        <f>AND(#REF!,"AAAAAEv2hgM=")</f>
        <v>#REF!</v>
      </c>
      <c r="E104" t="e">
        <f>IF(#REF!,"AAAAAEv2hgQ=",0)</f>
        <v>#REF!</v>
      </c>
      <c r="F104" t="e">
        <f>AND(#REF!,"AAAAAEv2hgU=")</f>
        <v>#REF!</v>
      </c>
      <c r="G104" t="e">
        <f>AND(#REF!,"AAAAAEv2hgY=")</f>
        <v>#REF!</v>
      </c>
      <c r="H104" t="e">
        <f>AND(#REF!,"AAAAAEv2hgc=")</f>
        <v>#REF!</v>
      </c>
      <c r="I104" t="e">
        <f>AND(#REF!,"AAAAAEv2hgg=")</f>
        <v>#REF!</v>
      </c>
      <c r="J104" t="e">
        <f>AND(#REF!,"AAAAAEv2hgk=")</f>
        <v>#REF!</v>
      </c>
      <c r="K104" t="e">
        <f>AND(#REF!,"AAAAAEv2hgo=")</f>
        <v>#REF!</v>
      </c>
      <c r="L104" t="e">
        <f>IF(#REF!,"AAAAAEv2hgs=",0)</f>
        <v>#REF!</v>
      </c>
      <c r="M104" t="e">
        <f>AND(#REF!,"AAAAAEv2hgw=")</f>
        <v>#REF!</v>
      </c>
      <c r="N104" t="e">
        <f>AND(#REF!,"AAAAAEv2hg0=")</f>
        <v>#REF!</v>
      </c>
      <c r="O104" t="e">
        <f>AND(#REF!,"AAAAAEv2hg4=")</f>
        <v>#REF!</v>
      </c>
      <c r="P104" t="e">
        <f>AND(#REF!,"AAAAAEv2hg8=")</f>
        <v>#REF!</v>
      </c>
      <c r="Q104" t="e">
        <f>AND(#REF!,"AAAAAEv2hhA=")</f>
        <v>#REF!</v>
      </c>
      <c r="R104" t="e">
        <f>AND(#REF!,"AAAAAEv2hhE=")</f>
        <v>#REF!</v>
      </c>
      <c r="S104" t="e">
        <f>IF(#REF!,"AAAAAEv2hhI=",0)</f>
        <v>#REF!</v>
      </c>
      <c r="T104" t="e">
        <f>AND(#REF!,"AAAAAEv2hhM=")</f>
        <v>#REF!</v>
      </c>
      <c r="U104" t="e">
        <f>AND(#REF!,"AAAAAEv2hhQ=")</f>
        <v>#REF!</v>
      </c>
      <c r="V104" t="e">
        <f>AND(#REF!,"AAAAAEv2hhU=")</f>
        <v>#REF!</v>
      </c>
      <c r="W104" t="e">
        <f>AND(#REF!,"AAAAAEv2hhY=")</f>
        <v>#REF!</v>
      </c>
      <c r="X104" t="e">
        <f>AND(#REF!,"AAAAAEv2hhc=")</f>
        <v>#REF!</v>
      </c>
      <c r="Y104" t="e">
        <f>AND(#REF!,"AAAAAEv2hhg=")</f>
        <v>#REF!</v>
      </c>
      <c r="Z104" t="e">
        <f>IF(#REF!,"AAAAAEv2hhk=",0)</f>
        <v>#REF!</v>
      </c>
      <c r="AA104" t="e">
        <f>AND(#REF!,"AAAAAEv2hho=")</f>
        <v>#REF!</v>
      </c>
      <c r="AB104" t="e">
        <f>AND(#REF!,"AAAAAEv2hhs=")</f>
        <v>#REF!</v>
      </c>
      <c r="AC104" t="e">
        <f>AND(#REF!,"AAAAAEv2hhw=")</f>
        <v>#REF!</v>
      </c>
      <c r="AD104" t="e">
        <f>AND(#REF!,"AAAAAEv2hh0=")</f>
        <v>#REF!</v>
      </c>
      <c r="AE104" t="e">
        <f>AND(#REF!,"AAAAAEv2hh4=")</f>
        <v>#REF!</v>
      </c>
      <c r="AF104" t="e">
        <f>AND(#REF!,"AAAAAEv2hh8=")</f>
        <v>#REF!</v>
      </c>
      <c r="AG104" t="e">
        <f>IF(#REF!,"AAAAAEv2hiA=",0)</f>
        <v>#REF!</v>
      </c>
      <c r="AH104" t="e">
        <f>AND(#REF!,"AAAAAEv2hiE=")</f>
        <v>#REF!</v>
      </c>
      <c r="AI104" t="e">
        <f>AND(#REF!,"AAAAAEv2hiI=")</f>
        <v>#REF!</v>
      </c>
      <c r="AJ104" t="e">
        <f>AND(#REF!,"AAAAAEv2hiM=")</f>
        <v>#REF!</v>
      </c>
      <c r="AK104" t="e">
        <f>AND(#REF!,"AAAAAEv2hiQ=")</f>
        <v>#REF!</v>
      </c>
      <c r="AL104" t="e">
        <f>AND(#REF!,"AAAAAEv2hiU=")</f>
        <v>#REF!</v>
      </c>
      <c r="AM104" t="e">
        <f>AND(#REF!,"AAAAAEv2hiY=")</f>
        <v>#REF!</v>
      </c>
      <c r="AN104" t="e">
        <f>IF(#REF!,"AAAAAEv2hic=",0)</f>
        <v>#REF!</v>
      </c>
      <c r="AO104" t="e">
        <f>AND(#REF!,"AAAAAEv2hig=")</f>
        <v>#REF!</v>
      </c>
      <c r="AP104" t="e">
        <f>AND(#REF!,"AAAAAEv2hik=")</f>
        <v>#REF!</v>
      </c>
      <c r="AQ104" t="e">
        <f>AND(#REF!,"AAAAAEv2hio=")</f>
        <v>#REF!</v>
      </c>
      <c r="AR104" t="e">
        <f>AND(#REF!,"AAAAAEv2his=")</f>
        <v>#REF!</v>
      </c>
      <c r="AS104" t="e">
        <f>AND(#REF!,"AAAAAEv2hiw=")</f>
        <v>#REF!</v>
      </c>
      <c r="AT104" t="e">
        <f>AND(#REF!,"AAAAAEv2hi0=")</f>
        <v>#REF!</v>
      </c>
      <c r="AU104" t="e">
        <f>IF(#REF!,"AAAAAEv2hi4=",0)</f>
        <v>#REF!</v>
      </c>
      <c r="AV104" t="e">
        <f>AND(#REF!,"AAAAAEv2hi8=")</f>
        <v>#REF!</v>
      </c>
      <c r="AW104" t="e">
        <f>AND(#REF!,"AAAAAEv2hjA=")</f>
        <v>#REF!</v>
      </c>
      <c r="AX104" t="e">
        <f>AND(#REF!,"AAAAAEv2hjE=")</f>
        <v>#REF!</v>
      </c>
      <c r="AY104" t="e">
        <f>AND(#REF!,"AAAAAEv2hjI=")</f>
        <v>#REF!</v>
      </c>
      <c r="AZ104" t="e">
        <f>AND(#REF!,"AAAAAEv2hjM=")</f>
        <v>#REF!</v>
      </c>
      <c r="BA104" t="e">
        <f>AND(#REF!,"AAAAAEv2hjQ=")</f>
        <v>#REF!</v>
      </c>
      <c r="BB104" t="e">
        <f>IF(#REF!,"AAAAAEv2hjU=",0)</f>
        <v>#REF!</v>
      </c>
      <c r="BC104" t="e">
        <f>AND(#REF!,"AAAAAEv2hjY=")</f>
        <v>#REF!</v>
      </c>
      <c r="BD104" t="e">
        <f>AND(#REF!,"AAAAAEv2hjc=")</f>
        <v>#REF!</v>
      </c>
      <c r="BE104" t="e">
        <f>AND(#REF!,"AAAAAEv2hjg=")</f>
        <v>#REF!</v>
      </c>
      <c r="BF104" t="e">
        <f>AND(#REF!,"AAAAAEv2hjk=")</f>
        <v>#REF!</v>
      </c>
      <c r="BG104" t="e">
        <f>AND(#REF!,"AAAAAEv2hjo=")</f>
        <v>#REF!</v>
      </c>
      <c r="BH104" t="e">
        <f>AND(#REF!,"AAAAAEv2hjs=")</f>
        <v>#REF!</v>
      </c>
      <c r="BI104" t="e">
        <f>IF(#REF!,"AAAAAEv2hjw=",0)</f>
        <v>#REF!</v>
      </c>
      <c r="BJ104" t="e">
        <f>AND(#REF!,"AAAAAEv2hj0=")</f>
        <v>#REF!</v>
      </c>
      <c r="BK104" t="e">
        <f>AND(#REF!,"AAAAAEv2hj4=")</f>
        <v>#REF!</v>
      </c>
      <c r="BL104" t="e">
        <f>AND(#REF!,"AAAAAEv2hj8=")</f>
        <v>#REF!</v>
      </c>
      <c r="BM104" t="e">
        <f>AND(#REF!,"AAAAAEv2hkA=")</f>
        <v>#REF!</v>
      </c>
      <c r="BN104" t="e">
        <f>AND(#REF!,"AAAAAEv2hkE=")</f>
        <v>#REF!</v>
      </c>
      <c r="BO104" t="e">
        <f>AND(#REF!,"AAAAAEv2hkI=")</f>
        <v>#REF!</v>
      </c>
      <c r="BP104" t="e">
        <f>IF(#REF!,"AAAAAEv2hkM=",0)</f>
        <v>#REF!</v>
      </c>
      <c r="BQ104" t="e">
        <f>AND(#REF!,"AAAAAEv2hkQ=")</f>
        <v>#REF!</v>
      </c>
      <c r="BR104" t="e">
        <f>AND(#REF!,"AAAAAEv2hkU=")</f>
        <v>#REF!</v>
      </c>
      <c r="BS104" t="e">
        <f>AND(#REF!,"AAAAAEv2hkY=")</f>
        <v>#REF!</v>
      </c>
      <c r="BT104" t="e">
        <f>AND(#REF!,"AAAAAEv2hkc=")</f>
        <v>#REF!</v>
      </c>
      <c r="BU104" t="e">
        <f>AND(#REF!,"AAAAAEv2hkg=")</f>
        <v>#REF!</v>
      </c>
      <c r="BV104" t="e">
        <f>AND(#REF!,"AAAAAEv2hkk=")</f>
        <v>#REF!</v>
      </c>
      <c r="BW104" t="e">
        <f>IF(#REF!,"AAAAAEv2hko=",0)</f>
        <v>#REF!</v>
      </c>
      <c r="BX104" t="e">
        <f>AND(#REF!,"AAAAAEv2hks=")</f>
        <v>#REF!</v>
      </c>
      <c r="BY104" t="e">
        <f>AND(#REF!,"AAAAAEv2hkw=")</f>
        <v>#REF!</v>
      </c>
      <c r="BZ104" t="e">
        <f>AND(#REF!,"AAAAAEv2hk0=")</f>
        <v>#REF!</v>
      </c>
      <c r="CA104" t="e">
        <f>AND(#REF!,"AAAAAEv2hk4=")</f>
        <v>#REF!</v>
      </c>
      <c r="CB104" t="e">
        <f>AND(#REF!,"AAAAAEv2hk8=")</f>
        <v>#REF!</v>
      </c>
      <c r="CC104" t="e">
        <f>AND(#REF!,"AAAAAEv2hlA=")</f>
        <v>#REF!</v>
      </c>
      <c r="CD104" t="e">
        <f>IF(#REF!,"AAAAAEv2hlE=",0)</f>
        <v>#REF!</v>
      </c>
      <c r="CE104" t="e">
        <f>AND(#REF!,"AAAAAEv2hlI=")</f>
        <v>#REF!</v>
      </c>
      <c r="CF104" t="e">
        <f>AND(#REF!,"AAAAAEv2hlM=")</f>
        <v>#REF!</v>
      </c>
      <c r="CG104" t="e">
        <f>AND(#REF!,"AAAAAEv2hlQ=")</f>
        <v>#REF!</v>
      </c>
      <c r="CH104" t="e">
        <f>AND(#REF!,"AAAAAEv2hlU=")</f>
        <v>#REF!</v>
      </c>
      <c r="CI104" t="e">
        <f>AND(#REF!,"AAAAAEv2hlY=")</f>
        <v>#REF!</v>
      </c>
      <c r="CJ104" t="e">
        <f>AND(#REF!,"AAAAAEv2hlc=")</f>
        <v>#REF!</v>
      </c>
      <c r="CK104" t="e">
        <f>IF(#REF!,"AAAAAEv2hlg=",0)</f>
        <v>#REF!</v>
      </c>
      <c r="CL104" t="e">
        <f>AND(#REF!,"AAAAAEv2hlk=")</f>
        <v>#REF!</v>
      </c>
      <c r="CM104" t="e">
        <f>AND(#REF!,"AAAAAEv2hlo=")</f>
        <v>#REF!</v>
      </c>
      <c r="CN104" t="e">
        <f>AND(#REF!,"AAAAAEv2hls=")</f>
        <v>#REF!</v>
      </c>
      <c r="CO104" t="e">
        <f>AND(#REF!,"AAAAAEv2hlw=")</f>
        <v>#REF!</v>
      </c>
      <c r="CP104" t="e">
        <f>AND(#REF!,"AAAAAEv2hl0=")</f>
        <v>#REF!</v>
      </c>
      <c r="CQ104" t="e">
        <f>AND(#REF!,"AAAAAEv2hl4=")</f>
        <v>#REF!</v>
      </c>
      <c r="CR104" t="e">
        <f>IF(#REF!,"AAAAAEv2hl8=",0)</f>
        <v>#REF!</v>
      </c>
      <c r="CS104" t="e">
        <f>AND(#REF!,"AAAAAEv2hmA=")</f>
        <v>#REF!</v>
      </c>
      <c r="CT104" t="e">
        <f>AND(#REF!,"AAAAAEv2hmE=")</f>
        <v>#REF!</v>
      </c>
      <c r="CU104" t="e">
        <f>AND(#REF!,"AAAAAEv2hmI=")</f>
        <v>#REF!</v>
      </c>
      <c r="CV104" t="e">
        <f>AND(#REF!,"AAAAAEv2hmM=")</f>
        <v>#REF!</v>
      </c>
      <c r="CW104" t="e">
        <f>AND(#REF!,"AAAAAEv2hmQ=")</f>
        <v>#REF!</v>
      </c>
      <c r="CX104" t="e">
        <f>AND(#REF!,"AAAAAEv2hmU=")</f>
        <v>#REF!</v>
      </c>
      <c r="CY104" t="e">
        <f>IF(#REF!,"AAAAAEv2hmY=",0)</f>
        <v>#REF!</v>
      </c>
      <c r="CZ104" t="e">
        <f>AND(#REF!,"AAAAAEv2hmc=")</f>
        <v>#REF!</v>
      </c>
      <c r="DA104" t="e">
        <f>AND(#REF!,"AAAAAEv2hmg=")</f>
        <v>#REF!</v>
      </c>
      <c r="DB104" t="e">
        <f>AND(#REF!,"AAAAAEv2hmk=")</f>
        <v>#REF!</v>
      </c>
      <c r="DC104" t="e">
        <f>AND(#REF!,"AAAAAEv2hmo=")</f>
        <v>#REF!</v>
      </c>
      <c r="DD104" t="e">
        <f>AND(#REF!,"AAAAAEv2hms=")</f>
        <v>#REF!</v>
      </c>
      <c r="DE104" t="e">
        <f>AND(#REF!,"AAAAAEv2hmw=")</f>
        <v>#REF!</v>
      </c>
      <c r="DF104" t="e">
        <f>IF(#REF!,"AAAAAEv2hm0=",0)</f>
        <v>#REF!</v>
      </c>
      <c r="DG104" t="e">
        <f>AND(#REF!,"AAAAAEv2hm4=")</f>
        <v>#REF!</v>
      </c>
      <c r="DH104" t="e">
        <f>AND(#REF!,"AAAAAEv2hm8=")</f>
        <v>#REF!</v>
      </c>
      <c r="DI104" t="e">
        <f>AND(#REF!,"AAAAAEv2hnA=")</f>
        <v>#REF!</v>
      </c>
      <c r="DJ104" t="e">
        <f>AND(#REF!,"AAAAAEv2hnE=")</f>
        <v>#REF!</v>
      </c>
      <c r="DK104" t="e">
        <f>AND(#REF!,"AAAAAEv2hnI=")</f>
        <v>#REF!</v>
      </c>
      <c r="DL104" t="e">
        <f>AND(#REF!,"AAAAAEv2hnM=")</f>
        <v>#REF!</v>
      </c>
      <c r="DM104" t="e">
        <f>IF(#REF!,"AAAAAEv2hnQ=",0)</f>
        <v>#REF!</v>
      </c>
      <c r="DN104" t="e">
        <f>AND(#REF!,"AAAAAEv2hnU=")</f>
        <v>#REF!</v>
      </c>
      <c r="DO104" t="e">
        <f>AND(#REF!,"AAAAAEv2hnY=")</f>
        <v>#REF!</v>
      </c>
      <c r="DP104" t="e">
        <f>AND(#REF!,"AAAAAEv2hnc=")</f>
        <v>#REF!</v>
      </c>
      <c r="DQ104" t="e">
        <f>AND(#REF!,"AAAAAEv2hng=")</f>
        <v>#REF!</v>
      </c>
      <c r="DR104" t="e">
        <f>AND(#REF!,"AAAAAEv2hnk=")</f>
        <v>#REF!</v>
      </c>
      <c r="DS104" t="e">
        <f>AND(#REF!,"AAAAAEv2hno=")</f>
        <v>#REF!</v>
      </c>
      <c r="DT104" t="e">
        <f>IF(#REF!,"AAAAAEv2hns=",0)</f>
        <v>#REF!</v>
      </c>
      <c r="DU104" t="e">
        <f>AND(#REF!,"AAAAAEv2hnw=")</f>
        <v>#REF!</v>
      </c>
      <c r="DV104" t="e">
        <f>AND(#REF!,"AAAAAEv2hn0=")</f>
        <v>#REF!</v>
      </c>
      <c r="DW104" t="e">
        <f>AND(#REF!,"AAAAAEv2hn4=")</f>
        <v>#REF!</v>
      </c>
      <c r="DX104" t="e">
        <f>AND(#REF!,"AAAAAEv2hn8=")</f>
        <v>#REF!</v>
      </c>
      <c r="DY104" t="e">
        <f>AND(#REF!,"AAAAAEv2hoA=")</f>
        <v>#REF!</v>
      </c>
      <c r="DZ104" t="e">
        <f>AND(#REF!,"AAAAAEv2hoE=")</f>
        <v>#REF!</v>
      </c>
      <c r="EA104" t="e">
        <f>IF(#REF!,"AAAAAEv2hoI=",0)</f>
        <v>#REF!</v>
      </c>
      <c r="EB104" t="e">
        <f>AND(#REF!,"AAAAAEv2hoM=")</f>
        <v>#REF!</v>
      </c>
      <c r="EC104" t="e">
        <f>AND(#REF!,"AAAAAEv2hoQ=")</f>
        <v>#REF!</v>
      </c>
      <c r="ED104" t="e">
        <f>AND(#REF!,"AAAAAEv2hoU=")</f>
        <v>#REF!</v>
      </c>
      <c r="EE104" t="e">
        <f>AND(#REF!,"AAAAAEv2hoY=")</f>
        <v>#REF!</v>
      </c>
      <c r="EF104" t="e">
        <f>AND(#REF!,"AAAAAEv2hoc=")</f>
        <v>#REF!</v>
      </c>
      <c r="EG104" t="e">
        <f>AND(#REF!,"AAAAAEv2hog=")</f>
        <v>#REF!</v>
      </c>
      <c r="EH104" t="e">
        <f>IF(#REF!,"AAAAAEv2hok=",0)</f>
        <v>#REF!</v>
      </c>
      <c r="EI104" t="e">
        <f>AND(#REF!,"AAAAAEv2hoo=")</f>
        <v>#REF!</v>
      </c>
      <c r="EJ104" t="e">
        <f>AND(#REF!,"AAAAAEv2hos=")</f>
        <v>#REF!</v>
      </c>
      <c r="EK104" t="e">
        <f>AND(#REF!,"AAAAAEv2how=")</f>
        <v>#REF!</v>
      </c>
      <c r="EL104" t="e">
        <f>AND(#REF!,"AAAAAEv2ho0=")</f>
        <v>#REF!</v>
      </c>
      <c r="EM104" t="e">
        <f>AND(#REF!,"AAAAAEv2ho4=")</f>
        <v>#REF!</v>
      </c>
      <c r="EN104" t="e">
        <f>AND(#REF!,"AAAAAEv2ho8=")</f>
        <v>#REF!</v>
      </c>
      <c r="EO104" t="e">
        <f>IF(#REF!,"AAAAAEv2hpA=",0)</f>
        <v>#REF!</v>
      </c>
      <c r="EP104" t="e">
        <f>AND(#REF!,"AAAAAEv2hpE=")</f>
        <v>#REF!</v>
      </c>
      <c r="EQ104" t="e">
        <f>AND(#REF!,"AAAAAEv2hpI=")</f>
        <v>#REF!</v>
      </c>
      <c r="ER104" t="e">
        <f>AND(#REF!,"AAAAAEv2hpM=")</f>
        <v>#REF!</v>
      </c>
      <c r="ES104" t="e">
        <f>AND(#REF!,"AAAAAEv2hpQ=")</f>
        <v>#REF!</v>
      </c>
      <c r="ET104" t="e">
        <f>AND(#REF!,"AAAAAEv2hpU=")</f>
        <v>#REF!</v>
      </c>
      <c r="EU104" t="e">
        <f>AND(#REF!,"AAAAAEv2hpY=")</f>
        <v>#REF!</v>
      </c>
      <c r="EV104" t="e">
        <f>IF(#REF!,"AAAAAEv2hpc=",0)</f>
        <v>#REF!</v>
      </c>
      <c r="EW104" t="e">
        <f>AND(#REF!,"AAAAAEv2hpg=")</f>
        <v>#REF!</v>
      </c>
      <c r="EX104" t="e">
        <f>AND(#REF!,"AAAAAEv2hpk=")</f>
        <v>#REF!</v>
      </c>
      <c r="EY104" t="e">
        <f>AND(#REF!,"AAAAAEv2hpo=")</f>
        <v>#REF!</v>
      </c>
      <c r="EZ104" t="e">
        <f>AND(#REF!,"AAAAAEv2hps=")</f>
        <v>#REF!</v>
      </c>
      <c r="FA104" t="e">
        <f>AND(#REF!,"AAAAAEv2hpw=")</f>
        <v>#REF!</v>
      </c>
      <c r="FB104" t="e">
        <f>AND(#REF!,"AAAAAEv2hp0=")</f>
        <v>#REF!</v>
      </c>
      <c r="FC104" t="e">
        <f>IF(#REF!,"AAAAAEv2hp4=",0)</f>
        <v>#REF!</v>
      </c>
      <c r="FD104" t="e">
        <f>AND(#REF!,"AAAAAEv2hp8=")</f>
        <v>#REF!</v>
      </c>
      <c r="FE104" t="e">
        <f>AND(#REF!,"AAAAAEv2hqA=")</f>
        <v>#REF!</v>
      </c>
      <c r="FF104" t="e">
        <f>AND(#REF!,"AAAAAEv2hqE=")</f>
        <v>#REF!</v>
      </c>
      <c r="FG104" t="e">
        <f>AND(#REF!,"AAAAAEv2hqI=")</f>
        <v>#REF!</v>
      </c>
      <c r="FH104" t="e">
        <f>AND(#REF!,"AAAAAEv2hqM=")</f>
        <v>#REF!</v>
      </c>
      <c r="FI104" t="e">
        <f>AND(#REF!,"AAAAAEv2hqQ=")</f>
        <v>#REF!</v>
      </c>
      <c r="FJ104" t="e">
        <f>IF(#REF!,"AAAAAEv2hqU=",0)</f>
        <v>#REF!</v>
      </c>
      <c r="FK104" t="e">
        <f>AND(#REF!,"AAAAAEv2hqY=")</f>
        <v>#REF!</v>
      </c>
      <c r="FL104" t="e">
        <f>AND(#REF!,"AAAAAEv2hqc=")</f>
        <v>#REF!</v>
      </c>
      <c r="FM104" t="e">
        <f>AND(#REF!,"AAAAAEv2hqg=")</f>
        <v>#REF!</v>
      </c>
      <c r="FN104" t="e">
        <f>AND(#REF!,"AAAAAEv2hqk=")</f>
        <v>#REF!</v>
      </c>
      <c r="FO104" t="e">
        <f>AND(#REF!,"AAAAAEv2hqo=")</f>
        <v>#REF!</v>
      </c>
      <c r="FP104" t="e">
        <f>AND(#REF!,"AAAAAEv2hqs=")</f>
        <v>#REF!</v>
      </c>
      <c r="FQ104" t="e">
        <f>IF(#REF!,"AAAAAEv2hqw=",0)</f>
        <v>#REF!</v>
      </c>
      <c r="FR104" t="e">
        <f>AND(#REF!,"AAAAAEv2hq0=")</f>
        <v>#REF!</v>
      </c>
      <c r="FS104" t="e">
        <f>AND(#REF!,"AAAAAEv2hq4=")</f>
        <v>#REF!</v>
      </c>
      <c r="FT104" t="e">
        <f>AND(#REF!,"AAAAAEv2hq8=")</f>
        <v>#REF!</v>
      </c>
      <c r="FU104" t="e">
        <f>AND(#REF!,"AAAAAEv2hrA=")</f>
        <v>#REF!</v>
      </c>
      <c r="FV104" t="e">
        <f>AND(#REF!,"AAAAAEv2hrE=")</f>
        <v>#REF!</v>
      </c>
      <c r="FW104" t="e">
        <f>AND(#REF!,"AAAAAEv2hrI=")</f>
        <v>#REF!</v>
      </c>
      <c r="FX104" t="e">
        <f>IF(#REF!,"AAAAAEv2hrM=",0)</f>
        <v>#REF!</v>
      </c>
      <c r="FY104" t="e">
        <f>AND(#REF!,"AAAAAEv2hrQ=")</f>
        <v>#REF!</v>
      </c>
      <c r="FZ104" t="e">
        <f>AND(#REF!,"AAAAAEv2hrU=")</f>
        <v>#REF!</v>
      </c>
      <c r="GA104" t="e">
        <f>AND(#REF!,"AAAAAEv2hrY=")</f>
        <v>#REF!</v>
      </c>
      <c r="GB104" t="e">
        <f>AND(#REF!,"AAAAAEv2hrc=")</f>
        <v>#REF!</v>
      </c>
      <c r="GC104" t="e">
        <f>AND(#REF!,"AAAAAEv2hrg=")</f>
        <v>#REF!</v>
      </c>
      <c r="GD104" t="e">
        <f>AND(#REF!,"AAAAAEv2hrk=")</f>
        <v>#REF!</v>
      </c>
      <c r="GE104" t="e">
        <f>IF(#REF!,"AAAAAEv2hro=",0)</f>
        <v>#REF!</v>
      </c>
      <c r="GF104" t="e">
        <f>AND(#REF!,"AAAAAEv2hrs=")</f>
        <v>#REF!</v>
      </c>
      <c r="GG104" t="e">
        <f>AND(#REF!,"AAAAAEv2hrw=")</f>
        <v>#REF!</v>
      </c>
      <c r="GH104" t="e">
        <f>AND(#REF!,"AAAAAEv2hr0=")</f>
        <v>#REF!</v>
      </c>
      <c r="GI104" t="e">
        <f>AND(#REF!,"AAAAAEv2hr4=")</f>
        <v>#REF!</v>
      </c>
      <c r="GJ104" t="e">
        <f>AND(#REF!,"AAAAAEv2hr8=")</f>
        <v>#REF!</v>
      </c>
      <c r="GK104" t="e">
        <f>AND(#REF!,"AAAAAEv2hsA=")</f>
        <v>#REF!</v>
      </c>
      <c r="GL104" t="e">
        <f>IF(#REF!,"AAAAAEv2hsE=",0)</f>
        <v>#REF!</v>
      </c>
      <c r="GM104" t="e">
        <f>AND(#REF!,"AAAAAEv2hsI=")</f>
        <v>#REF!</v>
      </c>
      <c r="GN104" t="e">
        <f>AND(#REF!,"AAAAAEv2hsM=")</f>
        <v>#REF!</v>
      </c>
      <c r="GO104" t="e">
        <f>AND(#REF!,"AAAAAEv2hsQ=")</f>
        <v>#REF!</v>
      </c>
      <c r="GP104" t="e">
        <f>AND(#REF!,"AAAAAEv2hsU=")</f>
        <v>#REF!</v>
      </c>
      <c r="GQ104" t="e">
        <f>AND(#REF!,"AAAAAEv2hsY=")</f>
        <v>#REF!</v>
      </c>
      <c r="GR104" t="e">
        <f>AND(#REF!,"AAAAAEv2hsc=")</f>
        <v>#REF!</v>
      </c>
      <c r="GS104" t="e">
        <f>IF(#REF!,"AAAAAEv2hsg=",0)</f>
        <v>#REF!</v>
      </c>
      <c r="GT104" t="e">
        <f>AND(#REF!,"AAAAAEv2hsk=")</f>
        <v>#REF!</v>
      </c>
      <c r="GU104" t="e">
        <f>AND(#REF!,"AAAAAEv2hso=")</f>
        <v>#REF!</v>
      </c>
      <c r="GV104" t="e">
        <f>AND(#REF!,"AAAAAEv2hss=")</f>
        <v>#REF!</v>
      </c>
      <c r="GW104" t="e">
        <f>AND(#REF!,"AAAAAEv2hsw=")</f>
        <v>#REF!</v>
      </c>
      <c r="GX104" t="e">
        <f>AND(#REF!,"AAAAAEv2hs0=")</f>
        <v>#REF!</v>
      </c>
      <c r="GY104" t="e">
        <f>AND(#REF!,"AAAAAEv2hs4=")</f>
        <v>#REF!</v>
      </c>
      <c r="GZ104" t="e">
        <f>IF(#REF!,"AAAAAEv2hs8=",0)</f>
        <v>#REF!</v>
      </c>
      <c r="HA104" t="e">
        <f>AND(#REF!,"AAAAAEv2htA=")</f>
        <v>#REF!</v>
      </c>
      <c r="HB104" t="e">
        <f>AND(#REF!,"AAAAAEv2htE=")</f>
        <v>#REF!</v>
      </c>
      <c r="HC104" t="e">
        <f>AND(#REF!,"AAAAAEv2htI=")</f>
        <v>#REF!</v>
      </c>
      <c r="HD104" t="e">
        <f>AND(#REF!,"AAAAAEv2htM=")</f>
        <v>#REF!</v>
      </c>
      <c r="HE104" t="e">
        <f>AND(#REF!,"AAAAAEv2htQ=")</f>
        <v>#REF!</v>
      </c>
      <c r="HF104" t="e">
        <f>AND(#REF!,"AAAAAEv2htU=")</f>
        <v>#REF!</v>
      </c>
      <c r="HG104" t="e">
        <f>IF(#REF!,"AAAAAEv2htY=",0)</f>
        <v>#REF!</v>
      </c>
      <c r="HH104" t="e">
        <f>AND(#REF!,"AAAAAEv2htc=")</f>
        <v>#REF!</v>
      </c>
      <c r="HI104" t="e">
        <f>AND(#REF!,"AAAAAEv2htg=")</f>
        <v>#REF!</v>
      </c>
      <c r="HJ104" t="e">
        <f>AND(#REF!,"AAAAAEv2htk=")</f>
        <v>#REF!</v>
      </c>
      <c r="HK104" t="e">
        <f>AND(#REF!,"AAAAAEv2hto=")</f>
        <v>#REF!</v>
      </c>
      <c r="HL104" t="e">
        <f>AND(#REF!,"AAAAAEv2hts=")</f>
        <v>#REF!</v>
      </c>
      <c r="HM104" t="e">
        <f>AND(#REF!,"AAAAAEv2htw=")</f>
        <v>#REF!</v>
      </c>
      <c r="HN104" t="e">
        <f>IF(#REF!,"AAAAAEv2ht0=",0)</f>
        <v>#REF!</v>
      </c>
      <c r="HO104" t="e">
        <f>AND(#REF!,"AAAAAEv2ht4=")</f>
        <v>#REF!</v>
      </c>
      <c r="HP104" t="e">
        <f>AND(#REF!,"AAAAAEv2ht8=")</f>
        <v>#REF!</v>
      </c>
      <c r="HQ104" t="e">
        <f>AND(#REF!,"AAAAAEv2huA=")</f>
        <v>#REF!</v>
      </c>
      <c r="HR104" t="e">
        <f>AND(#REF!,"AAAAAEv2huE=")</f>
        <v>#REF!</v>
      </c>
      <c r="HS104" t="e">
        <f>AND(#REF!,"AAAAAEv2huI=")</f>
        <v>#REF!</v>
      </c>
      <c r="HT104" t="e">
        <f>AND(#REF!,"AAAAAEv2huM=")</f>
        <v>#REF!</v>
      </c>
      <c r="HU104" t="e">
        <f>IF(#REF!,"AAAAAEv2huQ=",0)</f>
        <v>#REF!</v>
      </c>
      <c r="HV104" t="e">
        <f>AND(#REF!,"AAAAAEv2huU=")</f>
        <v>#REF!</v>
      </c>
      <c r="HW104" t="e">
        <f>AND(#REF!,"AAAAAEv2huY=")</f>
        <v>#REF!</v>
      </c>
      <c r="HX104" t="e">
        <f>AND(#REF!,"AAAAAEv2huc=")</f>
        <v>#REF!</v>
      </c>
      <c r="HY104" t="e">
        <f>AND(#REF!,"AAAAAEv2hug=")</f>
        <v>#REF!</v>
      </c>
      <c r="HZ104" t="e">
        <f>AND(#REF!,"AAAAAEv2huk=")</f>
        <v>#REF!</v>
      </c>
      <c r="IA104" t="e">
        <f>AND(#REF!,"AAAAAEv2huo=")</f>
        <v>#REF!</v>
      </c>
      <c r="IB104" t="e">
        <f>IF(#REF!,"AAAAAEv2hus=",0)</f>
        <v>#REF!</v>
      </c>
      <c r="IC104" t="e">
        <f>AND(#REF!,"AAAAAEv2huw=")</f>
        <v>#REF!</v>
      </c>
      <c r="ID104" t="e">
        <f>AND(#REF!,"AAAAAEv2hu0=")</f>
        <v>#REF!</v>
      </c>
      <c r="IE104" t="e">
        <f>AND(#REF!,"AAAAAEv2hu4=")</f>
        <v>#REF!</v>
      </c>
      <c r="IF104" t="e">
        <f>AND(#REF!,"AAAAAEv2hu8=")</f>
        <v>#REF!</v>
      </c>
      <c r="IG104" t="e">
        <f>AND(#REF!,"AAAAAEv2hvA=")</f>
        <v>#REF!</v>
      </c>
      <c r="IH104" t="e">
        <f>AND(#REF!,"AAAAAEv2hvE=")</f>
        <v>#REF!</v>
      </c>
      <c r="II104" t="e">
        <f>IF(#REF!,"AAAAAEv2hvI=",0)</f>
        <v>#REF!</v>
      </c>
      <c r="IJ104" t="e">
        <f>AND(#REF!,"AAAAAEv2hvM=")</f>
        <v>#REF!</v>
      </c>
      <c r="IK104" t="e">
        <f>AND(#REF!,"AAAAAEv2hvQ=")</f>
        <v>#REF!</v>
      </c>
      <c r="IL104" t="e">
        <f>AND(#REF!,"AAAAAEv2hvU=")</f>
        <v>#REF!</v>
      </c>
      <c r="IM104" t="e">
        <f>AND(#REF!,"AAAAAEv2hvY=")</f>
        <v>#REF!</v>
      </c>
      <c r="IN104" t="e">
        <f>AND(#REF!,"AAAAAEv2hvc=")</f>
        <v>#REF!</v>
      </c>
      <c r="IO104" t="e">
        <f>AND(#REF!,"AAAAAEv2hvg=")</f>
        <v>#REF!</v>
      </c>
      <c r="IP104" t="e">
        <f>IF(#REF!,"AAAAAEv2hvk=",0)</f>
        <v>#REF!</v>
      </c>
      <c r="IQ104" t="e">
        <f>AND(#REF!,"AAAAAEv2hvo=")</f>
        <v>#REF!</v>
      </c>
      <c r="IR104" t="e">
        <f>AND(#REF!,"AAAAAEv2hvs=")</f>
        <v>#REF!</v>
      </c>
      <c r="IS104" t="e">
        <f>AND(#REF!,"AAAAAEv2hvw=")</f>
        <v>#REF!</v>
      </c>
      <c r="IT104" t="e">
        <f>AND(#REF!,"AAAAAEv2hv0=")</f>
        <v>#REF!</v>
      </c>
      <c r="IU104" t="e">
        <f>AND(#REF!,"AAAAAEv2hv4=")</f>
        <v>#REF!</v>
      </c>
      <c r="IV104" t="e">
        <f>AND(#REF!,"AAAAAEv2hv8=")</f>
        <v>#REF!</v>
      </c>
    </row>
    <row r="105" spans="1:256" x14ac:dyDescent="0.15">
      <c r="A105" t="e">
        <f>IF(#REF!,"AAAAAF8b4wA=",0)</f>
        <v>#REF!</v>
      </c>
      <c r="B105" t="e">
        <f>AND(#REF!,"AAAAAF8b4wE=")</f>
        <v>#REF!</v>
      </c>
      <c r="C105" t="e">
        <f>AND(#REF!,"AAAAAF8b4wI=")</f>
        <v>#REF!</v>
      </c>
      <c r="D105" t="e">
        <f>AND(#REF!,"AAAAAF8b4wM=")</f>
        <v>#REF!</v>
      </c>
      <c r="E105" t="e">
        <f>AND(#REF!,"AAAAAF8b4wQ=")</f>
        <v>#REF!</v>
      </c>
      <c r="F105" t="e">
        <f>AND(#REF!,"AAAAAF8b4wU=")</f>
        <v>#REF!</v>
      </c>
      <c r="G105" t="e">
        <f>AND(#REF!,"AAAAAF8b4wY=")</f>
        <v>#REF!</v>
      </c>
      <c r="H105" t="e">
        <f>IF(#REF!,"AAAAAF8b4wc=",0)</f>
        <v>#REF!</v>
      </c>
      <c r="I105" t="e">
        <f>AND(#REF!,"AAAAAF8b4wg=")</f>
        <v>#REF!</v>
      </c>
      <c r="J105" t="e">
        <f>AND(#REF!,"AAAAAF8b4wk=")</f>
        <v>#REF!</v>
      </c>
      <c r="K105" t="e">
        <f>AND(#REF!,"AAAAAF8b4wo=")</f>
        <v>#REF!</v>
      </c>
      <c r="L105" t="e">
        <f>AND(#REF!,"AAAAAF8b4ws=")</f>
        <v>#REF!</v>
      </c>
      <c r="M105" t="e">
        <f>AND(#REF!,"AAAAAF8b4ww=")</f>
        <v>#REF!</v>
      </c>
      <c r="N105" t="e">
        <f>AND(#REF!,"AAAAAF8b4w0=")</f>
        <v>#REF!</v>
      </c>
      <c r="O105" t="e">
        <f>IF(#REF!,"AAAAAF8b4w4=",0)</f>
        <v>#REF!</v>
      </c>
      <c r="P105" t="e">
        <f>AND(#REF!,"AAAAAF8b4w8=")</f>
        <v>#REF!</v>
      </c>
      <c r="Q105" t="e">
        <f>AND(#REF!,"AAAAAF8b4xA=")</f>
        <v>#REF!</v>
      </c>
      <c r="R105" t="e">
        <f>AND(#REF!,"AAAAAF8b4xE=")</f>
        <v>#REF!</v>
      </c>
      <c r="S105" t="e">
        <f>AND(#REF!,"AAAAAF8b4xI=")</f>
        <v>#REF!</v>
      </c>
      <c r="T105" t="e">
        <f>AND(#REF!,"AAAAAF8b4xM=")</f>
        <v>#REF!</v>
      </c>
      <c r="U105" t="e">
        <f>AND(#REF!,"AAAAAF8b4xQ=")</f>
        <v>#REF!</v>
      </c>
      <c r="V105" t="e">
        <f>IF(#REF!,"AAAAAF8b4xU=",0)</f>
        <v>#REF!</v>
      </c>
      <c r="W105" t="e">
        <f>AND(#REF!,"AAAAAF8b4xY=")</f>
        <v>#REF!</v>
      </c>
      <c r="X105" t="e">
        <f>AND(#REF!,"AAAAAF8b4xc=")</f>
        <v>#REF!</v>
      </c>
      <c r="Y105" t="e">
        <f>AND(#REF!,"AAAAAF8b4xg=")</f>
        <v>#REF!</v>
      </c>
      <c r="Z105" t="e">
        <f>AND(#REF!,"AAAAAF8b4xk=")</f>
        <v>#REF!</v>
      </c>
      <c r="AA105" t="e">
        <f>AND(#REF!,"AAAAAF8b4xo=")</f>
        <v>#REF!</v>
      </c>
      <c r="AB105" t="e">
        <f>AND(#REF!,"AAAAAF8b4xs=")</f>
        <v>#REF!</v>
      </c>
      <c r="AC105" t="e">
        <f>IF(#REF!,"AAAAAF8b4xw=",0)</f>
        <v>#REF!</v>
      </c>
      <c r="AD105" t="e">
        <f>AND(#REF!,"AAAAAF8b4x0=")</f>
        <v>#REF!</v>
      </c>
      <c r="AE105" t="e">
        <f>AND(#REF!,"AAAAAF8b4x4=")</f>
        <v>#REF!</v>
      </c>
      <c r="AF105" t="e">
        <f>AND(#REF!,"AAAAAF8b4x8=")</f>
        <v>#REF!</v>
      </c>
      <c r="AG105" t="e">
        <f>AND(#REF!,"AAAAAF8b4yA=")</f>
        <v>#REF!</v>
      </c>
      <c r="AH105" t="e">
        <f>AND(#REF!,"AAAAAF8b4yE=")</f>
        <v>#REF!</v>
      </c>
      <c r="AI105" t="e">
        <f>AND(#REF!,"AAAAAF8b4yI=")</f>
        <v>#REF!</v>
      </c>
      <c r="AJ105" t="e">
        <f>IF(#REF!,"AAAAAF8b4yM=",0)</f>
        <v>#REF!</v>
      </c>
      <c r="AK105" t="e">
        <f>AND(#REF!,"AAAAAF8b4yQ=")</f>
        <v>#REF!</v>
      </c>
      <c r="AL105" t="e">
        <f>AND(#REF!,"AAAAAF8b4yU=")</f>
        <v>#REF!</v>
      </c>
      <c r="AM105" t="e">
        <f>AND(#REF!,"AAAAAF8b4yY=")</f>
        <v>#REF!</v>
      </c>
      <c r="AN105" t="e">
        <f>AND(#REF!,"AAAAAF8b4yc=")</f>
        <v>#REF!</v>
      </c>
      <c r="AO105" t="e">
        <f>AND(#REF!,"AAAAAF8b4yg=")</f>
        <v>#REF!</v>
      </c>
      <c r="AP105" t="e">
        <f>AND(#REF!,"AAAAAF8b4yk=")</f>
        <v>#REF!</v>
      </c>
      <c r="AQ105" t="e">
        <f>IF(#REF!,"AAAAAF8b4yo=",0)</f>
        <v>#REF!</v>
      </c>
      <c r="AR105" t="e">
        <f>AND(#REF!,"AAAAAF8b4ys=")</f>
        <v>#REF!</v>
      </c>
      <c r="AS105" t="e">
        <f>AND(#REF!,"AAAAAF8b4yw=")</f>
        <v>#REF!</v>
      </c>
      <c r="AT105" t="e">
        <f>AND(#REF!,"AAAAAF8b4y0=")</f>
        <v>#REF!</v>
      </c>
      <c r="AU105" t="e">
        <f>AND(#REF!,"AAAAAF8b4y4=")</f>
        <v>#REF!</v>
      </c>
      <c r="AV105" t="e">
        <f>AND(#REF!,"AAAAAF8b4y8=")</f>
        <v>#REF!</v>
      </c>
      <c r="AW105" t="e">
        <f>AND(#REF!,"AAAAAF8b4zA=")</f>
        <v>#REF!</v>
      </c>
      <c r="AX105" t="e">
        <f>IF(#REF!,"AAAAAF8b4zE=",0)</f>
        <v>#REF!</v>
      </c>
      <c r="AY105" t="e">
        <f>AND(#REF!,"AAAAAF8b4zI=")</f>
        <v>#REF!</v>
      </c>
      <c r="AZ105" t="e">
        <f>AND(#REF!,"AAAAAF8b4zM=")</f>
        <v>#REF!</v>
      </c>
      <c r="BA105" t="e">
        <f>AND(#REF!,"AAAAAF8b4zQ=")</f>
        <v>#REF!</v>
      </c>
      <c r="BB105" t="e">
        <f>AND(#REF!,"AAAAAF8b4zU=")</f>
        <v>#REF!</v>
      </c>
      <c r="BC105" t="e">
        <f>AND(#REF!,"AAAAAF8b4zY=")</f>
        <v>#REF!</v>
      </c>
      <c r="BD105" t="e">
        <f>AND(#REF!,"AAAAAF8b4zc=")</f>
        <v>#REF!</v>
      </c>
      <c r="BE105" t="e">
        <f>IF(#REF!,"AAAAAF8b4zg=",0)</f>
        <v>#REF!</v>
      </c>
      <c r="BF105" t="e">
        <f>AND(#REF!,"AAAAAF8b4zk=")</f>
        <v>#REF!</v>
      </c>
      <c r="BG105" t="e">
        <f>AND(#REF!,"AAAAAF8b4zo=")</f>
        <v>#REF!</v>
      </c>
      <c r="BH105" t="e">
        <f>AND(#REF!,"AAAAAF8b4zs=")</f>
        <v>#REF!</v>
      </c>
      <c r="BI105" t="e">
        <f>AND(#REF!,"AAAAAF8b4zw=")</f>
        <v>#REF!</v>
      </c>
      <c r="BJ105" t="e">
        <f>AND(#REF!,"AAAAAF8b4z0=")</f>
        <v>#REF!</v>
      </c>
      <c r="BK105" t="e">
        <f>AND(#REF!,"AAAAAF8b4z4=")</f>
        <v>#REF!</v>
      </c>
      <c r="BL105" t="e">
        <f>IF(#REF!,"AAAAAF8b4z8=",0)</f>
        <v>#REF!</v>
      </c>
      <c r="BM105" t="e">
        <f>AND(#REF!,"AAAAAF8b40A=")</f>
        <v>#REF!</v>
      </c>
      <c r="BN105" t="e">
        <f>AND(#REF!,"AAAAAF8b40E=")</f>
        <v>#REF!</v>
      </c>
      <c r="BO105" t="e">
        <f>AND(#REF!,"AAAAAF8b40I=")</f>
        <v>#REF!</v>
      </c>
      <c r="BP105" t="e">
        <f>AND(#REF!,"AAAAAF8b40M=")</f>
        <v>#REF!</v>
      </c>
      <c r="BQ105" t="e">
        <f>AND(#REF!,"AAAAAF8b40Q=")</f>
        <v>#REF!</v>
      </c>
      <c r="BR105" t="e">
        <f>AND(#REF!,"AAAAAF8b40U=")</f>
        <v>#REF!</v>
      </c>
      <c r="BS105" t="e">
        <f>IF(#REF!,"AAAAAF8b40Y=",0)</f>
        <v>#REF!</v>
      </c>
      <c r="BT105" t="e">
        <f>AND(#REF!,"AAAAAF8b40c=")</f>
        <v>#REF!</v>
      </c>
      <c r="BU105" t="e">
        <f>AND(#REF!,"AAAAAF8b40g=")</f>
        <v>#REF!</v>
      </c>
      <c r="BV105" t="e">
        <f>AND(#REF!,"AAAAAF8b40k=")</f>
        <v>#REF!</v>
      </c>
      <c r="BW105" t="e">
        <f>AND(#REF!,"AAAAAF8b40o=")</f>
        <v>#REF!</v>
      </c>
      <c r="BX105" t="e">
        <f>AND(#REF!,"AAAAAF8b40s=")</f>
        <v>#REF!</v>
      </c>
      <c r="BY105" t="e">
        <f>AND(#REF!,"AAAAAF8b40w=")</f>
        <v>#REF!</v>
      </c>
      <c r="BZ105" t="e">
        <f>IF(#REF!,"AAAAAF8b400=",0)</f>
        <v>#REF!</v>
      </c>
      <c r="CA105" t="e">
        <f>AND(#REF!,"AAAAAF8b404=")</f>
        <v>#REF!</v>
      </c>
      <c r="CB105" t="e">
        <f>AND(#REF!,"AAAAAF8b408=")</f>
        <v>#REF!</v>
      </c>
      <c r="CC105" t="e">
        <f>AND(#REF!,"AAAAAF8b41A=")</f>
        <v>#REF!</v>
      </c>
      <c r="CD105" t="e">
        <f>AND(#REF!,"AAAAAF8b41E=")</f>
        <v>#REF!</v>
      </c>
      <c r="CE105" t="e">
        <f>AND(#REF!,"AAAAAF8b41I=")</f>
        <v>#REF!</v>
      </c>
      <c r="CF105" t="e">
        <f>AND(#REF!,"AAAAAF8b41M=")</f>
        <v>#REF!</v>
      </c>
      <c r="CG105" t="e">
        <f>IF(#REF!,"AAAAAF8b41Q=",0)</f>
        <v>#REF!</v>
      </c>
      <c r="CH105" t="e">
        <f>AND(#REF!,"AAAAAF8b41U=")</f>
        <v>#REF!</v>
      </c>
      <c r="CI105" t="e">
        <f>AND(#REF!,"AAAAAF8b41Y=")</f>
        <v>#REF!</v>
      </c>
      <c r="CJ105" t="e">
        <f>AND(#REF!,"AAAAAF8b41c=")</f>
        <v>#REF!</v>
      </c>
      <c r="CK105" t="e">
        <f>AND(#REF!,"AAAAAF8b41g=")</f>
        <v>#REF!</v>
      </c>
      <c r="CL105" t="e">
        <f>AND(#REF!,"AAAAAF8b41k=")</f>
        <v>#REF!</v>
      </c>
      <c r="CM105" t="e">
        <f>AND(#REF!,"AAAAAF8b41o=")</f>
        <v>#REF!</v>
      </c>
      <c r="CN105" t="e">
        <f>IF(#REF!,"AAAAAF8b41s=",0)</f>
        <v>#REF!</v>
      </c>
      <c r="CO105" t="e">
        <f>AND(#REF!,"AAAAAF8b41w=")</f>
        <v>#REF!</v>
      </c>
      <c r="CP105" t="e">
        <f>AND(#REF!,"AAAAAF8b410=")</f>
        <v>#REF!</v>
      </c>
      <c r="CQ105" t="e">
        <f>AND(#REF!,"AAAAAF8b414=")</f>
        <v>#REF!</v>
      </c>
      <c r="CR105" t="e">
        <f>AND(#REF!,"AAAAAF8b418=")</f>
        <v>#REF!</v>
      </c>
      <c r="CS105" t="e">
        <f>AND(#REF!,"AAAAAF8b42A=")</f>
        <v>#REF!</v>
      </c>
      <c r="CT105" t="e">
        <f>AND(#REF!,"AAAAAF8b42E=")</f>
        <v>#REF!</v>
      </c>
      <c r="CU105" t="e">
        <f>IF(#REF!,"AAAAAF8b42I=",0)</f>
        <v>#REF!</v>
      </c>
      <c r="CV105" t="e">
        <f>AND(#REF!,"AAAAAF8b42M=")</f>
        <v>#REF!</v>
      </c>
      <c r="CW105" t="e">
        <f>AND(#REF!,"AAAAAF8b42Q=")</f>
        <v>#REF!</v>
      </c>
      <c r="CX105" t="e">
        <f>AND(#REF!,"AAAAAF8b42U=")</f>
        <v>#REF!</v>
      </c>
      <c r="CY105" t="e">
        <f>AND(#REF!,"AAAAAF8b42Y=")</f>
        <v>#REF!</v>
      </c>
      <c r="CZ105" t="e">
        <f>AND(#REF!,"AAAAAF8b42c=")</f>
        <v>#REF!</v>
      </c>
      <c r="DA105" t="e">
        <f>AND(#REF!,"AAAAAF8b42g=")</f>
        <v>#REF!</v>
      </c>
      <c r="DB105" t="e">
        <f>IF(#REF!,"AAAAAF8b42k=",0)</f>
        <v>#REF!</v>
      </c>
      <c r="DC105" t="e">
        <f>AND(#REF!,"AAAAAF8b42o=")</f>
        <v>#REF!</v>
      </c>
      <c r="DD105" t="e">
        <f>AND(#REF!,"AAAAAF8b42s=")</f>
        <v>#REF!</v>
      </c>
      <c r="DE105" t="e">
        <f>AND(#REF!,"AAAAAF8b42w=")</f>
        <v>#REF!</v>
      </c>
      <c r="DF105" t="e">
        <f>AND(#REF!,"AAAAAF8b420=")</f>
        <v>#REF!</v>
      </c>
      <c r="DG105" t="e">
        <f>AND(#REF!,"AAAAAF8b424=")</f>
        <v>#REF!</v>
      </c>
      <c r="DH105" t="e">
        <f>AND(#REF!,"AAAAAF8b428=")</f>
        <v>#REF!</v>
      </c>
      <c r="DI105" t="e">
        <f>IF(#REF!,"AAAAAF8b43A=",0)</f>
        <v>#REF!</v>
      </c>
      <c r="DJ105" t="e">
        <f>AND(#REF!,"AAAAAF8b43E=")</f>
        <v>#REF!</v>
      </c>
      <c r="DK105" t="e">
        <f>AND(#REF!,"AAAAAF8b43I=")</f>
        <v>#REF!</v>
      </c>
      <c r="DL105" t="e">
        <f>AND(#REF!,"AAAAAF8b43M=")</f>
        <v>#REF!</v>
      </c>
      <c r="DM105" t="e">
        <f>AND(#REF!,"AAAAAF8b43Q=")</f>
        <v>#REF!</v>
      </c>
      <c r="DN105" t="e">
        <f>AND(#REF!,"AAAAAF8b43U=")</f>
        <v>#REF!</v>
      </c>
      <c r="DO105" t="e">
        <f>AND(#REF!,"AAAAAF8b43Y=")</f>
        <v>#REF!</v>
      </c>
      <c r="DP105" t="e">
        <f>IF(#REF!,"AAAAAF8b43c=",0)</f>
        <v>#REF!</v>
      </c>
      <c r="DQ105" t="e">
        <f>AND(#REF!,"AAAAAF8b43g=")</f>
        <v>#REF!</v>
      </c>
      <c r="DR105" t="e">
        <f>AND(#REF!,"AAAAAF8b43k=")</f>
        <v>#REF!</v>
      </c>
      <c r="DS105" t="e">
        <f>AND(#REF!,"AAAAAF8b43o=")</f>
        <v>#REF!</v>
      </c>
      <c r="DT105" t="e">
        <f>AND(#REF!,"AAAAAF8b43s=")</f>
        <v>#REF!</v>
      </c>
      <c r="DU105" t="e">
        <f>AND(#REF!,"AAAAAF8b43w=")</f>
        <v>#REF!</v>
      </c>
      <c r="DV105" t="e">
        <f>AND(#REF!,"AAAAAF8b430=")</f>
        <v>#REF!</v>
      </c>
      <c r="DW105" t="e">
        <f>IF(#REF!,"AAAAAF8b434=",0)</f>
        <v>#REF!</v>
      </c>
      <c r="DX105" t="e">
        <f>AND(#REF!,"AAAAAF8b438=")</f>
        <v>#REF!</v>
      </c>
      <c r="DY105" t="e">
        <f>AND(#REF!,"AAAAAF8b44A=")</f>
        <v>#REF!</v>
      </c>
      <c r="DZ105" t="e">
        <f>AND(#REF!,"AAAAAF8b44E=")</f>
        <v>#REF!</v>
      </c>
      <c r="EA105" t="e">
        <f>AND(#REF!,"AAAAAF8b44I=")</f>
        <v>#REF!</v>
      </c>
      <c r="EB105" t="e">
        <f>AND(#REF!,"AAAAAF8b44M=")</f>
        <v>#REF!</v>
      </c>
      <c r="EC105" t="e">
        <f>AND(#REF!,"AAAAAF8b44Q=")</f>
        <v>#REF!</v>
      </c>
      <c r="ED105" t="e">
        <f>IF(#REF!,"AAAAAF8b44U=",0)</f>
        <v>#REF!</v>
      </c>
      <c r="EE105" t="e">
        <f>AND(#REF!,"AAAAAF8b44Y=")</f>
        <v>#REF!</v>
      </c>
      <c r="EF105" t="e">
        <f>AND(#REF!,"AAAAAF8b44c=")</f>
        <v>#REF!</v>
      </c>
      <c r="EG105" t="e">
        <f>AND(#REF!,"AAAAAF8b44g=")</f>
        <v>#REF!</v>
      </c>
      <c r="EH105" t="e">
        <f>AND(#REF!,"AAAAAF8b44k=")</f>
        <v>#REF!</v>
      </c>
      <c r="EI105" t="e">
        <f>AND(#REF!,"AAAAAF8b44o=")</f>
        <v>#REF!</v>
      </c>
      <c r="EJ105" t="e">
        <f>AND(#REF!,"AAAAAF8b44s=")</f>
        <v>#REF!</v>
      </c>
      <c r="EK105" t="e">
        <f>IF(#REF!,"AAAAAF8b44w=",0)</f>
        <v>#REF!</v>
      </c>
      <c r="EL105" t="e">
        <f>AND(#REF!,"AAAAAF8b440=")</f>
        <v>#REF!</v>
      </c>
      <c r="EM105" t="e">
        <f>AND(#REF!,"AAAAAF8b444=")</f>
        <v>#REF!</v>
      </c>
      <c r="EN105" t="e">
        <f>AND(#REF!,"AAAAAF8b448=")</f>
        <v>#REF!</v>
      </c>
      <c r="EO105" t="e">
        <f>AND(#REF!,"AAAAAF8b45A=")</f>
        <v>#REF!</v>
      </c>
      <c r="EP105" t="e">
        <f>AND(#REF!,"AAAAAF8b45E=")</f>
        <v>#REF!</v>
      </c>
      <c r="EQ105" t="e">
        <f>AND(#REF!,"AAAAAF8b45I=")</f>
        <v>#REF!</v>
      </c>
      <c r="ER105" t="e">
        <f>IF(#REF!,"AAAAAF8b45M=",0)</f>
        <v>#REF!</v>
      </c>
      <c r="ES105" t="e">
        <f>AND(#REF!,"AAAAAF8b45Q=")</f>
        <v>#REF!</v>
      </c>
      <c r="ET105" t="e">
        <f>AND(#REF!,"AAAAAF8b45U=")</f>
        <v>#REF!</v>
      </c>
      <c r="EU105" t="e">
        <f>AND(#REF!,"AAAAAF8b45Y=")</f>
        <v>#REF!</v>
      </c>
      <c r="EV105" t="e">
        <f>AND(#REF!,"AAAAAF8b45c=")</f>
        <v>#REF!</v>
      </c>
      <c r="EW105" t="e">
        <f>AND(#REF!,"AAAAAF8b45g=")</f>
        <v>#REF!</v>
      </c>
      <c r="EX105" t="e">
        <f>AND(#REF!,"AAAAAF8b45k=")</f>
        <v>#REF!</v>
      </c>
      <c r="EY105" t="e">
        <f>IF(#REF!,"AAAAAF8b45o=",0)</f>
        <v>#REF!</v>
      </c>
      <c r="EZ105" t="e">
        <f>AND(#REF!,"AAAAAF8b45s=")</f>
        <v>#REF!</v>
      </c>
      <c r="FA105" t="e">
        <f>AND(#REF!,"AAAAAF8b45w=")</f>
        <v>#REF!</v>
      </c>
      <c r="FB105" t="e">
        <f>AND(#REF!,"AAAAAF8b450=")</f>
        <v>#REF!</v>
      </c>
      <c r="FC105" t="e">
        <f>AND(#REF!,"AAAAAF8b454=")</f>
        <v>#REF!</v>
      </c>
      <c r="FD105" t="e">
        <f>AND(#REF!,"AAAAAF8b458=")</f>
        <v>#REF!</v>
      </c>
      <c r="FE105" t="e">
        <f>AND(#REF!,"AAAAAF8b46A=")</f>
        <v>#REF!</v>
      </c>
      <c r="FF105" t="e">
        <f>IF(#REF!,"AAAAAF8b46E=",0)</f>
        <v>#REF!</v>
      </c>
      <c r="FG105" t="e">
        <f>AND(#REF!,"AAAAAF8b46I=")</f>
        <v>#REF!</v>
      </c>
      <c r="FH105" t="e">
        <f>AND(#REF!,"AAAAAF8b46M=")</f>
        <v>#REF!</v>
      </c>
      <c r="FI105" t="e">
        <f>AND(#REF!,"AAAAAF8b46Q=")</f>
        <v>#REF!</v>
      </c>
      <c r="FJ105" t="e">
        <f>AND(#REF!,"AAAAAF8b46U=")</f>
        <v>#REF!</v>
      </c>
      <c r="FK105" t="e">
        <f>AND(#REF!,"AAAAAF8b46Y=")</f>
        <v>#REF!</v>
      </c>
      <c r="FL105" t="e">
        <f>AND(#REF!,"AAAAAF8b46c=")</f>
        <v>#REF!</v>
      </c>
      <c r="FM105" t="e">
        <f>IF(#REF!,"AAAAAF8b46g=",0)</f>
        <v>#REF!</v>
      </c>
      <c r="FN105" t="e">
        <f>AND(#REF!,"AAAAAF8b46k=")</f>
        <v>#REF!</v>
      </c>
      <c r="FO105" t="e">
        <f>AND(#REF!,"AAAAAF8b46o=")</f>
        <v>#REF!</v>
      </c>
      <c r="FP105" t="e">
        <f>AND(#REF!,"AAAAAF8b46s=")</f>
        <v>#REF!</v>
      </c>
      <c r="FQ105" t="e">
        <f>AND(#REF!,"AAAAAF8b46w=")</f>
        <v>#REF!</v>
      </c>
      <c r="FR105" t="e">
        <f>AND(#REF!,"AAAAAF8b460=")</f>
        <v>#REF!</v>
      </c>
      <c r="FS105" t="e">
        <f>AND(#REF!,"AAAAAF8b464=")</f>
        <v>#REF!</v>
      </c>
      <c r="FT105" t="e">
        <f>IF(#REF!,"AAAAAF8b468=",0)</f>
        <v>#REF!</v>
      </c>
      <c r="FU105" t="e">
        <f>AND(#REF!,"AAAAAF8b47A=")</f>
        <v>#REF!</v>
      </c>
      <c r="FV105" t="e">
        <f>AND(#REF!,"AAAAAF8b47E=")</f>
        <v>#REF!</v>
      </c>
      <c r="FW105" t="e">
        <f>AND(#REF!,"AAAAAF8b47I=")</f>
        <v>#REF!</v>
      </c>
      <c r="FX105" t="e">
        <f>AND(#REF!,"AAAAAF8b47M=")</f>
        <v>#REF!</v>
      </c>
      <c r="FY105" t="e">
        <f>AND(#REF!,"AAAAAF8b47Q=")</f>
        <v>#REF!</v>
      </c>
      <c r="FZ105" t="e">
        <f>AND(#REF!,"AAAAAF8b47U=")</f>
        <v>#REF!</v>
      </c>
      <c r="GA105" t="e">
        <f>IF(#REF!,"AAAAAF8b47Y=",0)</f>
        <v>#REF!</v>
      </c>
      <c r="GB105" t="e">
        <f>AND(#REF!,"AAAAAF8b47c=")</f>
        <v>#REF!</v>
      </c>
      <c r="GC105" t="e">
        <f>AND(#REF!,"AAAAAF8b47g=")</f>
        <v>#REF!</v>
      </c>
      <c r="GD105" t="e">
        <f>AND(#REF!,"AAAAAF8b47k=")</f>
        <v>#REF!</v>
      </c>
      <c r="GE105" t="e">
        <f>AND(#REF!,"AAAAAF8b47o=")</f>
        <v>#REF!</v>
      </c>
      <c r="GF105" t="e">
        <f>AND(#REF!,"AAAAAF8b47s=")</f>
        <v>#REF!</v>
      </c>
      <c r="GG105" t="e">
        <f>AND(#REF!,"AAAAAF8b47w=")</f>
        <v>#REF!</v>
      </c>
      <c r="GH105" t="e">
        <f>IF(#REF!,"AAAAAF8b470=",0)</f>
        <v>#REF!</v>
      </c>
      <c r="GI105" t="e">
        <f>AND(#REF!,"AAAAAF8b474=")</f>
        <v>#REF!</v>
      </c>
      <c r="GJ105" t="e">
        <f>AND(#REF!,"AAAAAF8b478=")</f>
        <v>#REF!</v>
      </c>
      <c r="GK105" t="e">
        <f>AND(#REF!,"AAAAAF8b48A=")</f>
        <v>#REF!</v>
      </c>
      <c r="GL105" t="e">
        <f>AND(#REF!,"AAAAAF8b48E=")</f>
        <v>#REF!</v>
      </c>
      <c r="GM105" t="e">
        <f>AND(#REF!,"AAAAAF8b48I=")</f>
        <v>#REF!</v>
      </c>
      <c r="GN105" t="e">
        <f>AND(#REF!,"AAAAAF8b48M=")</f>
        <v>#REF!</v>
      </c>
      <c r="GO105" t="e">
        <f>IF(#REF!,"AAAAAF8b48Q=",0)</f>
        <v>#REF!</v>
      </c>
      <c r="GP105" t="e">
        <f>AND(#REF!,"AAAAAF8b48U=")</f>
        <v>#REF!</v>
      </c>
      <c r="GQ105" t="e">
        <f>AND(#REF!,"AAAAAF8b48Y=")</f>
        <v>#REF!</v>
      </c>
      <c r="GR105" t="e">
        <f>AND(#REF!,"AAAAAF8b48c=")</f>
        <v>#REF!</v>
      </c>
      <c r="GS105" t="e">
        <f>AND(#REF!,"AAAAAF8b48g=")</f>
        <v>#REF!</v>
      </c>
      <c r="GT105" t="e">
        <f>AND(#REF!,"AAAAAF8b48k=")</f>
        <v>#REF!</v>
      </c>
      <c r="GU105" t="e">
        <f>AND(#REF!,"AAAAAF8b48o=")</f>
        <v>#REF!</v>
      </c>
      <c r="GV105" t="e">
        <f>IF(#REF!,"AAAAAF8b48s=",0)</f>
        <v>#REF!</v>
      </c>
      <c r="GW105" t="e">
        <f>AND(#REF!,"AAAAAF8b48w=")</f>
        <v>#REF!</v>
      </c>
      <c r="GX105" t="e">
        <f>AND(#REF!,"AAAAAF8b480=")</f>
        <v>#REF!</v>
      </c>
      <c r="GY105" t="e">
        <f>AND(#REF!,"AAAAAF8b484=")</f>
        <v>#REF!</v>
      </c>
      <c r="GZ105" t="e">
        <f>AND(#REF!,"AAAAAF8b488=")</f>
        <v>#REF!</v>
      </c>
      <c r="HA105" t="e">
        <f>AND(#REF!,"AAAAAF8b49A=")</f>
        <v>#REF!</v>
      </c>
      <c r="HB105" t="e">
        <f>AND(#REF!,"AAAAAF8b49E=")</f>
        <v>#REF!</v>
      </c>
      <c r="HC105" t="e">
        <f>IF(#REF!,"AAAAAF8b49I=",0)</f>
        <v>#REF!</v>
      </c>
      <c r="HD105" t="e">
        <f>AND(#REF!,"AAAAAF8b49M=")</f>
        <v>#REF!</v>
      </c>
      <c r="HE105" t="e">
        <f>AND(#REF!,"AAAAAF8b49Q=")</f>
        <v>#REF!</v>
      </c>
      <c r="HF105" t="e">
        <f>AND(#REF!,"AAAAAF8b49U=")</f>
        <v>#REF!</v>
      </c>
      <c r="HG105" t="e">
        <f>AND(#REF!,"AAAAAF8b49Y=")</f>
        <v>#REF!</v>
      </c>
      <c r="HH105" t="e">
        <f>AND(#REF!,"AAAAAF8b49c=")</f>
        <v>#REF!</v>
      </c>
      <c r="HI105" t="e">
        <f>AND(#REF!,"AAAAAF8b49g=")</f>
        <v>#REF!</v>
      </c>
      <c r="HJ105" t="e">
        <f>IF(#REF!,"AAAAAF8b49k=",0)</f>
        <v>#REF!</v>
      </c>
      <c r="HK105" t="e">
        <f>AND(#REF!,"AAAAAF8b49o=")</f>
        <v>#REF!</v>
      </c>
      <c r="HL105" t="e">
        <f>AND(#REF!,"AAAAAF8b49s=")</f>
        <v>#REF!</v>
      </c>
      <c r="HM105" t="e">
        <f>AND(#REF!,"AAAAAF8b49w=")</f>
        <v>#REF!</v>
      </c>
      <c r="HN105" t="e">
        <f>AND(#REF!,"AAAAAF8b490=")</f>
        <v>#REF!</v>
      </c>
      <c r="HO105" t="e">
        <f>AND(#REF!,"AAAAAF8b494=")</f>
        <v>#REF!</v>
      </c>
      <c r="HP105" t="e">
        <f>AND(#REF!,"AAAAAF8b498=")</f>
        <v>#REF!</v>
      </c>
      <c r="HQ105" t="e">
        <f>IF(#REF!,"AAAAAF8b4+A=",0)</f>
        <v>#REF!</v>
      </c>
      <c r="HR105" t="e">
        <f>AND(#REF!,"AAAAAF8b4+E=")</f>
        <v>#REF!</v>
      </c>
      <c r="HS105" t="e">
        <f>AND(#REF!,"AAAAAF8b4+I=")</f>
        <v>#REF!</v>
      </c>
      <c r="HT105" t="e">
        <f>AND(#REF!,"AAAAAF8b4+M=")</f>
        <v>#REF!</v>
      </c>
      <c r="HU105" t="e">
        <f>AND(#REF!,"AAAAAF8b4+Q=")</f>
        <v>#REF!</v>
      </c>
      <c r="HV105" t="e">
        <f>AND(#REF!,"AAAAAF8b4+U=")</f>
        <v>#REF!</v>
      </c>
      <c r="HW105" t="e">
        <f>AND(#REF!,"AAAAAF8b4+Y=")</f>
        <v>#REF!</v>
      </c>
      <c r="HX105" t="e">
        <f>IF(#REF!,"AAAAAF8b4+c=",0)</f>
        <v>#REF!</v>
      </c>
      <c r="HY105" t="e">
        <f>AND(#REF!,"AAAAAF8b4+g=")</f>
        <v>#REF!</v>
      </c>
      <c r="HZ105" t="e">
        <f>AND(#REF!,"AAAAAF8b4+k=")</f>
        <v>#REF!</v>
      </c>
      <c r="IA105" t="e">
        <f>AND(#REF!,"AAAAAF8b4+o=")</f>
        <v>#REF!</v>
      </c>
      <c r="IB105" t="e">
        <f>AND(#REF!,"AAAAAF8b4+s=")</f>
        <v>#REF!</v>
      </c>
      <c r="IC105" t="e">
        <f>AND(#REF!,"AAAAAF8b4+w=")</f>
        <v>#REF!</v>
      </c>
      <c r="ID105" t="e">
        <f>AND(#REF!,"AAAAAF8b4+0=")</f>
        <v>#REF!</v>
      </c>
      <c r="IE105" t="e">
        <f>IF(#REF!,"AAAAAF8b4+4=",0)</f>
        <v>#REF!</v>
      </c>
      <c r="IF105" t="e">
        <f>AND(#REF!,"AAAAAF8b4+8=")</f>
        <v>#REF!</v>
      </c>
      <c r="IG105" t="e">
        <f>AND(#REF!,"AAAAAF8b4/A=")</f>
        <v>#REF!</v>
      </c>
      <c r="IH105" t="e">
        <f>AND(#REF!,"AAAAAF8b4/E=")</f>
        <v>#REF!</v>
      </c>
      <c r="II105" t="e">
        <f>AND(#REF!,"AAAAAF8b4/I=")</f>
        <v>#REF!</v>
      </c>
      <c r="IJ105" t="e">
        <f>AND(#REF!,"AAAAAF8b4/M=")</f>
        <v>#REF!</v>
      </c>
      <c r="IK105" t="e">
        <f>AND(#REF!,"AAAAAF8b4/Q=")</f>
        <v>#REF!</v>
      </c>
      <c r="IL105" t="e">
        <f>IF(#REF!,"AAAAAF8b4/U=",0)</f>
        <v>#REF!</v>
      </c>
      <c r="IM105" t="e">
        <f>AND(#REF!,"AAAAAF8b4/Y=")</f>
        <v>#REF!</v>
      </c>
      <c r="IN105" t="e">
        <f>AND(#REF!,"AAAAAF8b4/c=")</f>
        <v>#REF!</v>
      </c>
      <c r="IO105" t="e">
        <f>AND(#REF!,"AAAAAF8b4/g=")</f>
        <v>#REF!</v>
      </c>
      <c r="IP105" t="e">
        <f>AND(#REF!,"AAAAAF8b4/k=")</f>
        <v>#REF!</v>
      </c>
      <c r="IQ105" t="e">
        <f>AND(#REF!,"AAAAAF8b4/o=")</f>
        <v>#REF!</v>
      </c>
      <c r="IR105" t="e">
        <f>AND(#REF!,"AAAAAF8b4/s=")</f>
        <v>#REF!</v>
      </c>
      <c r="IS105" t="e">
        <f>IF(#REF!,"AAAAAF8b4/w=",0)</f>
        <v>#REF!</v>
      </c>
      <c r="IT105" t="e">
        <f>AND(#REF!,"AAAAAF8b4/0=")</f>
        <v>#REF!</v>
      </c>
      <c r="IU105" t="e">
        <f>AND(#REF!,"AAAAAF8b4/4=")</f>
        <v>#REF!</v>
      </c>
      <c r="IV105" t="e">
        <f>AND(#REF!,"AAAAAF8b4/8=")</f>
        <v>#REF!</v>
      </c>
    </row>
    <row r="106" spans="1:256" x14ac:dyDescent="0.15">
      <c r="A106" t="e">
        <f>AND(#REF!,"AAAAAGrHbwA=")</f>
        <v>#REF!</v>
      </c>
      <c r="B106" t="e">
        <f>AND(#REF!,"AAAAAGrHbwE=")</f>
        <v>#REF!</v>
      </c>
      <c r="C106" t="e">
        <f>AND(#REF!,"AAAAAGrHbwI=")</f>
        <v>#REF!</v>
      </c>
      <c r="D106" t="e">
        <f>IF(#REF!,"AAAAAGrHbwM=",0)</f>
        <v>#REF!</v>
      </c>
      <c r="E106" t="e">
        <f>AND(#REF!,"AAAAAGrHbwQ=")</f>
        <v>#REF!</v>
      </c>
      <c r="F106" t="e">
        <f>AND(#REF!,"AAAAAGrHbwU=")</f>
        <v>#REF!</v>
      </c>
      <c r="G106" t="e">
        <f>AND(#REF!,"AAAAAGrHbwY=")</f>
        <v>#REF!</v>
      </c>
      <c r="H106" t="e">
        <f>AND(#REF!,"AAAAAGrHbwc=")</f>
        <v>#REF!</v>
      </c>
      <c r="I106" t="e">
        <f>AND(#REF!,"AAAAAGrHbwg=")</f>
        <v>#REF!</v>
      </c>
      <c r="J106" t="e">
        <f>AND(#REF!,"AAAAAGrHbwk=")</f>
        <v>#REF!</v>
      </c>
      <c r="K106" t="e">
        <f>IF(#REF!,"AAAAAGrHbwo=",0)</f>
        <v>#REF!</v>
      </c>
      <c r="L106" t="e">
        <f>AND(#REF!,"AAAAAGrHbws=")</f>
        <v>#REF!</v>
      </c>
      <c r="M106" t="e">
        <f>AND(#REF!,"AAAAAGrHbww=")</f>
        <v>#REF!</v>
      </c>
      <c r="N106" t="e">
        <f>AND(#REF!,"AAAAAGrHbw0=")</f>
        <v>#REF!</v>
      </c>
      <c r="O106" t="e">
        <f>AND(#REF!,"AAAAAGrHbw4=")</f>
        <v>#REF!</v>
      </c>
      <c r="P106" t="e">
        <f>AND(#REF!,"AAAAAGrHbw8=")</f>
        <v>#REF!</v>
      </c>
      <c r="Q106" t="e">
        <f>AND(#REF!,"AAAAAGrHbxA=")</f>
        <v>#REF!</v>
      </c>
      <c r="R106" t="e">
        <f>IF(#REF!,"AAAAAGrHbxE=",0)</f>
        <v>#REF!</v>
      </c>
      <c r="S106" t="e">
        <f>AND(#REF!,"AAAAAGrHbxI=")</f>
        <v>#REF!</v>
      </c>
      <c r="T106" t="e">
        <f>AND(#REF!,"AAAAAGrHbxM=")</f>
        <v>#REF!</v>
      </c>
      <c r="U106" t="e">
        <f>AND(#REF!,"AAAAAGrHbxQ=")</f>
        <v>#REF!</v>
      </c>
      <c r="V106" t="e">
        <f>AND(#REF!,"AAAAAGrHbxU=")</f>
        <v>#REF!</v>
      </c>
      <c r="W106" t="e">
        <f>AND(#REF!,"AAAAAGrHbxY=")</f>
        <v>#REF!</v>
      </c>
      <c r="X106" t="e">
        <f>AND(#REF!,"AAAAAGrHbxc=")</f>
        <v>#REF!</v>
      </c>
      <c r="Y106" t="e">
        <f>IF(#REF!,"AAAAAGrHbxg=",0)</f>
        <v>#REF!</v>
      </c>
      <c r="Z106" t="e">
        <f>AND(#REF!,"AAAAAGrHbxk=")</f>
        <v>#REF!</v>
      </c>
      <c r="AA106" t="e">
        <f>AND(#REF!,"AAAAAGrHbxo=")</f>
        <v>#REF!</v>
      </c>
      <c r="AB106" t="e">
        <f>AND(#REF!,"AAAAAGrHbxs=")</f>
        <v>#REF!</v>
      </c>
      <c r="AC106" t="e">
        <f>AND(#REF!,"AAAAAGrHbxw=")</f>
        <v>#REF!</v>
      </c>
      <c r="AD106" t="e">
        <f>AND(#REF!,"AAAAAGrHbx0=")</f>
        <v>#REF!</v>
      </c>
      <c r="AE106" t="e">
        <f>AND(#REF!,"AAAAAGrHbx4=")</f>
        <v>#REF!</v>
      </c>
      <c r="AF106" t="e">
        <f>IF(#REF!,"AAAAAGrHbx8=",0)</f>
        <v>#REF!</v>
      </c>
      <c r="AG106" t="e">
        <f>AND(#REF!,"AAAAAGrHbyA=")</f>
        <v>#REF!</v>
      </c>
      <c r="AH106" t="e">
        <f>AND(#REF!,"AAAAAGrHbyE=")</f>
        <v>#REF!</v>
      </c>
      <c r="AI106" t="e">
        <f>AND(#REF!,"AAAAAGrHbyI=")</f>
        <v>#REF!</v>
      </c>
      <c r="AJ106" t="e">
        <f>AND(#REF!,"AAAAAGrHbyM=")</f>
        <v>#REF!</v>
      </c>
      <c r="AK106" t="e">
        <f>AND(#REF!,"AAAAAGrHbyQ=")</f>
        <v>#REF!</v>
      </c>
      <c r="AL106" t="e">
        <f>AND(#REF!,"AAAAAGrHbyU=")</f>
        <v>#REF!</v>
      </c>
      <c r="AM106" t="e">
        <f>IF(#REF!,"AAAAAGrHbyY=",0)</f>
        <v>#REF!</v>
      </c>
      <c r="AN106" t="e">
        <f>AND(#REF!,"AAAAAGrHbyc=")</f>
        <v>#REF!</v>
      </c>
      <c r="AO106" t="e">
        <f>AND(#REF!,"AAAAAGrHbyg=")</f>
        <v>#REF!</v>
      </c>
      <c r="AP106" t="e">
        <f>AND(#REF!,"AAAAAGrHbyk=")</f>
        <v>#REF!</v>
      </c>
      <c r="AQ106" t="e">
        <f>AND(#REF!,"AAAAAGrHbyo=")</f>
        <v>#REF!</v>
      </c>
      <c r="AR106" t="e">
        <f>AND(#REF!,"AAAAAGrHbys=")</f>
        <v>#REF!</v>
      </c>
      <c r="AS106" t="e">
        <f>AND(#REF!,"AAAAAGrHbyw=")</f>
        <v>#REF!</v>
      </c>
      <c r="AT106" t="e">
        <f>IF(#REF!,"AAAAAGrHby0=",0)</f>
        <v>#REF!</v>
      </c>
      <c r="AU106" t="e">
        <f>AND(#REF!,"AAAAAGrHby4=")</f>
        <v>#REF!</v>
      </c>
      <c r="AV106" t="e">
        <f>AND(#REF!,"AAAAAGrHby8=")</f>
        <v>#REF!</v>
      </c>
      <c r="AW106" t="e">
        <f>AND(#REF!,"AAAAAGrHbzA=")</f>
        <v>#REF!</v>
      </c>
      <c r="AX106" t="e">
        <f>AND(#REF!,"AAAAAGrHbzE=")</f>
        <v>#REF!</v>
      </c>
      <c r="AY106" t="e">
        <f>AND(#REF!,"AAAAAGrHbzI=")</f>
        <v>#REF!</v>
      </c>
      <c r="AZ106" t="e">
        <f>AND(#REF!,"AAAAAGrHbzM=")</f>
        <v>#REF!</v>
      </c>
      <c r="BA106" t="e">
        <f>IF(#REF!,"AAAAAGrHbzQ=",0)</f>
        <v>#REF!</v>
      </c>
      <c r="BB106" t="e">
        <f>AND(#REF!,"AAAAAGrHbzU=")</f>
        <v>#REF!</v>
      </c>
      <c r="BC106" t="e">
        <f>AND(#REF!,"AAAAAGrHbzY=")</f>
        <v>#REF!</v>
      </c>
      <c r="BD106" t="e">
        <f>AND(#REF!,"AAAAAGrHbzc=")</f>
        <v>#REF!</v>
      </c>
      <c r="BE106" t="e">
        <f>AND(#REF!,"AAAAAGrHbzg=")</f>
        <v>#REF!</v>
      </c>
      <c r="BF106" t="e">
        <f>AND(#REF!,"AAAAAGrHbzk=")</f>
        <v>#REF!</v>
      </c>
      <c r="BG106" t="e">
        <f>AND(#REF!,"AAAAAGrHbzo=")</f>
        <v>#REF!</v>
      </c>
      <c r="BH106" t="e">
        <f>IF(#REF!,"AAAAAGrHbzs=",0)</f>
        <v>#REF!</v>
      </c>
      <c r="BI106" t="e">
        <f>AND(#REF!,"AAAAAGrHbzw=")</f>
        <v>#REF!</v>
      </c>
      <c r="BJ106" t="e">
        <f>AND(#REF!,"AAAAAGrHbz0=")</f>
        <v>#REF!</v>
      </c>
      <c r="BK106" t="e">
        <f>AND(#REF!,"AAAAAGrHbz4=")</f>
        <v>#REF!</v>
      </c>
      <c r="BL106" t="e">
        <f>AND(#REF!,"AAAAAGrHbz8=")</f>
        <v>#REF!</v>
      </c>
      <c r="BM106" t="e">
        <f>AND(#REF!,"AAAAAGrHb0A=")</f>
        <v>#REF!</v>
      </c>
      <c r="BN106" t="e">
        <f>AND(#REF!,"AAAAAGrHb0E=")</f>
        <v>#REF!</v>
      </c>
      <c r="BO106" t="e">
        <f>IF(#REF!,"AAAAAGrHb0I=",0)</f>
        <v>#REF!</v>
      </c>
      <c r="BP106" t="e">
        <f>AND(#REF!,"AAAAAGrHb0M=")</f>
        <v>#REF!</v>
      </c>
      <c r="BQ106" t="e">
        <f>AND(#REF!,"AAAAAGrHb0Q=")</f>
        <v>#REF!</v>
      </c>
      <c r="BR106" t="e">
        <f>AND(#REF!,"AAAAAGrHb0U=")</f>
        <v>#REF!</v>
      </c>
      <c r="BS106" t="e">
        <f>AND(#REF!,"AAAAAGrHb0Y=")</f>
        <v>#REF!</v>
      </c>
      <c r="BT106" t="e">
        <f>AND(#REF!,"AAAAAGrHb0c=")</f>
        <v>#REF!</v>
      </c>
      <c r="BU106" t="e">
        <f>AND(#REF!,"AAAAAGrHb0g=")</f>
        <v>#REF!</v>
      </c>
      <c r="BV106" t="e">
        <f>IF(#REF!,"AAAAAGrHb0k=",0)</f>
        <v>#REF!</v>
      </c>
      <c r="BW106" t="e">
        <f>AND(#REF!,"AAAAAGrHb0o=")</f>
        <v>#REF!</v>
      </c>
      <c r="BX106" t="e">
        <f>AND(#REF!,"AAAAAGrHb0s=")</f>
        <v>#REF!</v>
      </c>
      <c r="BY106" t="e">
        <f>AND(#REF!,"AAAAAGrHb0w=")</f>
        <v>#REF!</v>
      </c>
      <c r="BZ106" t="e">
        <f>AND(#REF!,"AAAAAGrHb00=")</f>
        <v>#REF!</v>
      </c>
      <c r="CA106" t="e">
        <f>AND(#REF!,"AAAAAGrHb04=")</f>
        <v>#REF!</v>
      </c>
      <c r="CB106" t="e">
        <f>AND(#REF!,"AAAAAGrHb08=")</f>
        <v>#REF!</v>
      </c>
      <c r="CC106" t="e">
        <f>IF(#REF!,"AAAAAGrHb1A=",0)</f>
        <v>#REF!</v>
      </c>
      <c r="CD106" t="e">
        <f>AND(#REF!,"AAAAAGrHb1E=")</f>
        <v>#REF!</v>
      </c>
      <c r="CE106" t="e">
        <f>AND(#REF!,"AAAAAGrHb1I=")</f>
        <v>#REF!</v>
      </c>
      <c r="CF106" t="e">
        <f>AND(#REF!,"AAAAAGrHb1M=")</f>
        <v>#REF!</v>
      </c>
      <c r="CG106" t="e">
        <f>AND(#REF!,"AAAAAGrHb1Q=")</f>
        <v>#REF!</v>
      </c>
      <c r="CH106" t="e">
        <f>AND(#REF!,"AAAAAGrHb1U=")</f>
        <v>#REF!</v>
      </c>
      <c r="CI106" t="e">
        <f>AND(#REF!,"AAAAAGrHb1Y=")</f>
        <v>#REF!</v>
      </c>
      <c r="CJ106" t="e">
        <f>IF(#REF!,"AAAAAGrHb1c=",0)</f>
        <v>#REF!</v>
      </c>
      <c r="CK106" t="e">
        <f>AND(#REF!,"AAAAAGrHb1g=")</f>
        <v>#REF!</v>
      </c>
      <c r="CL106" t="e">
        <f>AND(#REF!,"AAAAAGrHb1k=")</f>
        <v>#REF!</v>
      </c>
      <c r="CM106" t="e">
        <f>AND(#REF!,"AAAAAGrHb1o=")</f>
        <v>#REF!</v>
      </c>
      <c r="CN106" t="e">
        <f>AND(#REF!,"AAAAAGrHb1s=")</f>
        <v>#REF!</v>
      </c>
      <c r="CO106" t="e">
        <f>AND(#REF!,"AAAAAGrHb1w=")</f>
        <v>#REF!</v>
      </c>
      <c r="CP106" t="e">
        <f>AND(#REF!,"AAAAAGrHb10=")</f>
        <v>#REF!</v>
      </c>
      <c r="CQ106" t="e">
        <f>IF(#REF!,"AAAAAGrHb14=",0)</f>
        <v>#REF!</v>
      </c>
      <c r="CR106" t="e">
        <f>AND(#REF!,"AAAAAGrHb18=")</f>
        <v>#REF!</v>
      </c>
      <c r="CS106" t="e">
        <f>AND(#REF!,"AAAAAGrHb2A=")</f>
        <v>#REF!</v>
      </c>
      <c r="CT106" t="e">
        <f>AND(#REF!,"AAAAAGrHb2E=")</f>
        <v>#REF!</v>
      </c>
      <c r="CU106" t="e">
        <f>AND(#REF!,"AAAAAGrHb2I=")</f>
        <v>#REF!</v>
      </c>
      <c r="CV106" t="e">
        <f>AND(#REF!,"AAAAAGrHb2M=")</f>
        <v>#REF!</v>
      </c>
      <c r="CW106" t="e">
        <f>AND(#REF!,"AAAAAGrHb2Q=")</f>
        <v>#REF!</v>
      </c>
      <c r="CX106" t="e">
        <f>IF(#REF!,"AAAAAGrHb2U=",0)</f>
        <v>#REF!</v>
      </c>
      <c r="CY106" t="e">
        <f>AND(#REF!,"AAAAAGrHb2Y=")</f>
        <v>#REF!</v>
      </c>
      <c r="CZ106" t="e">
        <f>AND(#REF!,"AAAAAGrHb2c=")</f>
        <v>#REF!</v>
      </c>
      <c r="DA106" t="e">
        <f>AND(#REF!,"AAAAAGrHb2g=")</f>
        <v>#REF!</v>
      </c>
      <c r="DB106" t="e">
        <f>AND(#REF!,"AAAAAGrHb2k=")</f>
        <v>#REF!</v>
      </c>
      <c r="DC106" t="e">
        <f>AND(#REF!,"AAAAAGrHb2o=")</f>
        <v>#REF!</v>
      </c>
      <c r="DD106" t="e">
        <f>AND(#REF!,"AAAAAGrHb2s=")</f>
        <v>#REF!</v>
      </c>
      <c r="DE106" t="e">
        <f>IF(#REF!,"AAAAAGrHb2w=",0)</f>
        <v>#REF!</v>
      </c>
      <c r="DF106" t="e">
        <f>AND(#REF!,"AAAAAGrHb20=")</f>
        <v>#REF!</v>
      </c>
      <c r="DG106" t="e">
        <f>AND(#REF!,"AAAAAGrHb24=")</f>
        <v>#REF!</v>
      </c>
      <c r="DH106" t="e">
        <f>AND(#REF!,"AAAAAGrHb28=")</f>
        <v>#REF!</v>
      </c>
      <c r="DI106" t="e">
        <f>AND(#REF!,"AAAAAGrHb3A=")</f>
        <v>#REF!</v>
      </c>
      <c r="DJ106" t="e">
        <f>AND(#REF!,"AAAAAGrHb3E=")</f>
        <v>#REF!</v>
      </c>
      <c r="DK106" t="e">
        <f>AND(#REF!,"AAAAAGrHb3I=")</f>
        <v>#REF!</v>
      </c>
      <c r="DL106" t="e">
        <f>IF(#REF!,"AAAAAGrHb3M=",0)</f>
        <v>#REF!</v>
      </c>
      <c r="DM106" t="e">
        <f>AND(#REF!,"AAAAAGrHb3Q=")</f>
        <v>#REF!</v>
      </c>
      <c r="DN106" t="e">
        <f>AND(#REF!,"AAAAAGrHb3U=")</f>
        <v>#REF!</v>
      </c>
      <c r="DO106" t="e">
        <f>AND(#REF!,"AAAAAGrHb3Y=")</f>
        <v>#REF!</v>
      </c>
      <c r="DP106" t="e">
        <f>AND(#REF!,"AAAAAGrHb3c=")</f>
        <v>#REF!</v>
      </c>
      <c r="DQ106" t="e">
        <f>AND(#REF!,"AAAAAGrHb3g=")</f>
        <v>#REF!</v>
      </c>
      <c r="DR106" t="e">
        <f>AND(#REF!,"AAAAAGrHb3k=")</f>
        <v>#REF!</v>
      </c>
      <c r="DS106" t="e">
        <f>IF(#REF!,"AAAAAGrHb3o=",0)</f>
        <v>#REF!</v>
      </c>
      <c r="DT106" t="e">
        <f>AND(#REF!,"AAAAAGrHb3s=")</f>
        <v>#REF!</v>
      </c>
      <c r="DU106" t="e">
        <f>AND(#REF!,"AAAAAGrHb3w=")</f>
        <v>#REF!</v>
      </c>
      <c r="DV106" t="e">
        <f>AND(#REF!,"AAAAAGrHb30=")</f>
        <v>#REF!</v>
      </c>
      <c r="DW106" t="e">
        <f>AND(#REF!,"AAAAAGrHb34=")</f>
        <v>#REF!</v>
      </c>
      <c r="DX106" t="e">
        <f>AND(#REF!,"AAAAAGrHb38=")</f>
        <v>#REF!</v>
      </c>
      <c r="DY106" t="e">
        <f>AND(#REF!,"AAAAAGrHb4A=")</f>
        <v>#REF!</v>
      </c>
      <c r="DZ106" t="e">
        <f>IF(#REF!,"AAAAAGrHb4E=",0)</f>
        <v>#REF!</v>
      </c>
      <c r="EA106" t="e">
        <f>AND(#REF!,"AAAAAGrHb4I=")</f>
        <v>#REF!</v>
      </c>
      <c r="EB106" t="e">
        <f>AND(#REF!,"AAAAAGrHb4M=")</f>
        <v>#REF!</v>
      </c>
      <c r="EC106" t="e">
        <f>AND(#REF!,"AAAAAGrHb4Q=")</f>
        <v>#REF!</v>
      </c>
      <c r="ED106" t="e">
        <f>AND(#REF!,"AAAAAGrHb4U=")</f>
        <v>#REF!</v>
      </c>
      <c r="EE106" t="e">
        <f>AND(#REF!,"AAAAAGrHb4Y=")</f>
        <v>#REF!</v>
      </c>
      <c r="EF106" t="e">
        <f>AND(#REF!,"AAAAAGrHb4c=")</f>
        <v>#REF!</v>
      </c>
      <c r="EG106" t="e">
        <f>IF(#REF!,"AAAAAGrHb4g=",0)</f>
        <v>#REF!</v>
      </c>
      <c r="EH106" t="e">
        <f>AND(#REF!,"AAAAAGrHb4k=")</f>
        <v>#REF!</v>
      </c>
      <c r="EI106" t="e">
        <f>AND(#REF!,"AAAAAGrHb4o=")</f>
        <v>#REF!</v>
      </c>
      <c r="EJ106" t="e">
        <f>AND(#REF!,"AAAAAGrHb4s=")</f>
        <v>#REF!</v>
      </c>
      <c r="EK106" t="e">
        <f>AND(#REF!,"AAAAAGrHb4w=")</f>
        <v>#REF!</v>
      </c>
      <c r="EL106" t="e">
        <f>AND(#REF!,"AAAAAGrHb40=")</f>
        <v>#REF!</v>
      </c>
      <c r="EM106" t="e">
        <f>AND(#REF!,"AAAAAGrHb44=")</f>
        <v>#REF!</v>
      </c>
      <c r="EN106" t="e">
        <f>IF(#REF!,"AAAAAGrHb48=",0)</f>
        <v>#REF!</v>
      </c>
      <c r="EO106" t="e">
        <f>AND(#REF!,"AAAAAGrHb5A=")</f>
        <v>#REF!</v>
      </c>
      <c r="EP106" t="e">
        <f>AND(#REF!,"AAAAAGrHb5E=")</f>
        <v>#REF!</v>
      </c>
      <c r="EQ106" t="e">
        <f>AND(#REF!,"AAAAAGrHb5I=")</f>
        <v>#REF!</v>
      </c>
      <c r="ER106" t="e">
        <f>AND(#REF!,"AAAAAGrHb5M=")</f>
        <v>#REF!</v>
      </c>
      <c r="ES106" t="e">
        <f>AND(#REF!,"AAAAAGrHb5Q=")</f>
        <v>#REF!</v>
      </c>
      <c r="ET106" t="e">
        <f>AND(#REF!,"AAAAAGrHb5U=")</f>
        <v>#REF!</v>
      </c>
      <c r="EU106" t="e">
        <f>IF(#REF!,"AAAAAGrHb5Y=",0)</f>
        <v>#REF!</v>
      </c>
      <c r="EV106" t="e">
        <f>AND(#REF!,"AAAAAGrHb5c=")</f>
        <v>#REF!</v>
      </c>
      <c r="EW106" t="e">
        <f>AND(#REF!,"AAAAAGrHb5g=")</f>
        <v>#REF!</v>
      </c>
      <c r="EX106" t="e">
        <f>AND(#REF!,"AAAAAGrHb5k=")</f>
        <v>#REF!</v>
      </c>
      <c r="EY106" t="e">
        <f>AND(#REF!,"AAAAAGrHb5o=")</f>
        <v>#REF!</v>
      </c>
      <c r="EZ106" t="e">
        <f>AND(#REF!,"AAAAAGrHb5s=")</f>
        <v>#REF!</v>
      </c>
      <c r="FA106" t="e">
        <f>AND(#REF!,"AAAAAGrHb5w=")</f>
        <v>#REF!</v>
      </c>
      <c r="FB106" t="e">
        <f>IF(#REF!,"AAAAAGrHb50=",0)</f>
        <v>#REF!</v>
      </c>
      <c r="FC106" t="e">
        <f>AND(#REF!,"AAAAAGrHb54=")</f>
        <v>#REF!</v>
      </c>
      <c r="FD106" t="e">
        <f>AND(#REF!,"AAAAAGrHb58=")</f>
        <v>#REF!</v>
      </c>
      <c r="FE106" t="e">
        <f>AND(#REF!,"AAAAAGrHb6A=")</f>
        <v>#REF!</v>
      </c>
      <c r="FF106" t="e">
        <f>AND(#REF!,"AAAAAGrHb6E=")</f>
        <v>#REF!</v>
      </c>
      <c r="FG106" t="e">
        <f>AND(#REF!,"AAAAAGrHb6I=")</f>
        <v>#REF!</v>
      </c>
      <c r="FH106" t="e">
        <f>AND(#REF!,"AAAAAGrHb6M=")</f>
        <v>#REF!</v>
      </c>
      <c r="FI106" t="e">
        <f>IF(#REF!,"AAAAAGrHb6Q=",0)</f>
        <v>#REF!</v>
      </c>
      <c r="FJ106" t="e">
        <f>AND(#REF!,"AAAAAGrHb6U=")</f>
        <v>#REF!</v>
      </c>
      <c r="FK106" t="e">
        <f>AND(#REF!,"AAAAAGrHb6Y=")</f>
        <v>#REF!</v>
      </c>
      <c r="FL106" t="e">
        <f>AND(#REF!,"AAAAAGrHb6c=")</f>
        <v>#REF!</v>
      </c>
      <c r="FM106" t="e">
        <f>AND(#REF!,"AAAAAGrHb6g=")</f>
        <v>#REF!</v>
      </c>
      <c r="FN106" t="e">
        <f>AND(#REF!,"AAAAAGrHb6k=")</f>
        <v>#REF!</v>
      </c>
      <c r="FO106" t="e">
        <f>AND(#REF!,"AAAAAGrHb6o=")</f>
        <v>#REF!</v>
      </c>
      <c r="FP106" t="e">
        <f>IF(#REF!,"AAAAAGrHb6s=",0)</f>
        <v>#REF!</v>
      </c>
      <c r="FQ106" t="e">
        <f>AND(#REF!,"AAAAAGrHb6w=")</f>
        <v>#REF!</v>
      </c>
      <c r="FR106" t="e">
        <f>AND(#REF!,"AAAAAGrHb60=")</f>
        <v>#REF!</v>
      </c>
      <c r="FS106" t="e">
        <f>AND(#REF!,"AAAAAGrHb64=")</f>
        <v>#REF!</v>
      </c>
      <c r="FT106" t="e">
        <f>AND(#REF!,"AAAAAGrHb68=")</f>
        <v>#REF!</v>
      </c>
      <c r="FU106" t="e">
        <f>AND(#REF!,"AAAAAGrHb7A=")</f>
        <v>#REF!</v>
      </c>
      <c r="FV106" t="e">
        <f>AND(#REF!,"AAAAAGrHb7E=")</f>
        <v>#REF!</v>
      </c>
      <c r="FW106" t="e">
        <f>IF(#REF!,"AAAAAGrHb7I=",0)</f>
        <v>#REF!</v>
      </c>
      <c r="FX106" t="e">
        <f>AND(#REF!,"AAAAAGrHb7M=")</f>
        <v>#REF!</v>
      </c>
      <c r="FY106" t="e">
        <f>AND(#REF!,"AAAAAGrHb7Q=")</f>
        <v>#REF!</v>
      </c>
      <c r="FZ106" t="e">
        <f>AND(#REF!,"AAAAAGrHb7U=")</f>
        <v>#REF!</v>
      </c>
      <c r="GA106" t="e">
        <f>AND(#REF!,"AAAAAGrHb7Y=")</f>
        <v>#REF!</v>
      </c>
      <c r="GB106" t="e">
        <f>AND(#REF!,"AAAAAGrHb7c=")</f>
        <v>#REF!</v>
      </c>
      <c r="GC106" t="e">
        <f>AND(#REF!,"AAAAAGrHb7g=")</f>
        <v>#REF!</v>
      </c>
      <c r="GD106" t="e">
        <f>IF(#REF!,"AAAAAGrHb7k=",0)</f>
        <v>#REF!</v>
      </c>
      <c r="GE106" t="e">
        <f>AND(#REF!,"AAAAAGrHb7o=")</f>
        <v>#REF!</v>
      </c>
      <c r="GF106" t="e">
        <f>AND(#REF!,"AAAAAGrHb7s=")</f>
        <v>#REF!</v>
      </c>
      <c r="GG106" t="e">
        <f>AND(#REF!,"AAAAAGrHb7w=")</f>
        <v>#REF!</v>
      </c>
      <c r="GH106" t="e">
        <f>AND(#REF!,"AAAAAGrHb70=")</f>
        <v>#REF!</v>
      </c>
      <c r="GI106" t="e">
        <f>AND(#REF!,"AAAAAGrHb74=")</f>
        <v>#REF!</v>
      </c>
      <c r="GJ106" t="e">
        <f>AND(#REF!,"AAAAAGrHb78=")</f>
        <v>#REF!</v>
      </c>
      <c r="GK106" t="e">
        <f>IF(#REF!,"AAAAAGrHb8A=",0)</f>
        <v>#REF!</v>
      </c>
      <c r="GL106" t="e">
        <f>AND(#REF!,"AAAAAGrHb8E=")</f>
        <v>#REF!</v>
      </c>
      <c r="GM106" t="e">
        <f>AND(#REF!,"AAAAAGrHb8I=")</f>
        <v>#REF!</v>
      </c>
      <c r="GN106" t="e">
        <f>AND(#REF!,"AAAAAGrHb8M=")</f>
        <v>#REF!</v>
      </c>
      <c r="GO106" t="e">
        <f>AND(#REF!,"AAAAAGrHb8Q=")</f>
        <v>#REF!</v>
      </c>
      <c r="GP106" t="e">
        <f>AND(#REF!,"AAAAAGrHb8U=")</f>
        <v>#REF!</v>
      </c>
      <c r="GQ106" t="e">
        <f>AND(#REF!,"AAAAAGrHb8Y=")</f>
        <v>#REF!</v>
      </c>
      <c r="GR106" t="e">
        <f>IF(#REF!,"AAAAAGrHb8c=",0)</f>
        <v>#REF!</v>
      </c>
      <c r="GS106" t="e">
        <f>AND(#REF!,"AAAAAGrHb8g=")</f>
        <v>#REF!</v>
      </c>
      <c r="GT106" t="e">
        <f>AND(#REF!,"AAAAAGrHb8k=")</f>
        <v>#REF!</v>
      </c>
      <c r="GU106" t="e">
        <f>AND(#REF!,"AAAAAGrHb8o=")</f>
        <v>#REF!</v>
      </c>
      <c r="GV106" t="e">
        <f>AND(#REF!,"AAAAAGrHb8s=")</f>
        <v>#REF!</v>
      </c>
      <c r="GW106" t="e">
        <f>AND(#REF!,"AAAAAGrHb8w=")</f>
        <v>#REF!</v>
      </c>
      <c r="GX106" t="e">
        <f>AND(#REF!,"AAAAAGrHb80=")</f>
        <v>#REF!</v>
      </c>
      <c r="GY106" t="e">
        <f>IF(#REF!,"AAAAAGrHb84=",0)</f>
        <v>#REF!</v>
      </c>
      <c r="GZ106" t="e">
        <f>AND(#REF!,"AAAAAGrHb88=")</f>
        <v>#REF!</v>
      </c>
      <c r="HA106" t="e">
        <f>AND(#REF!,"AAAAAGrHb9A=")</f>
        <v>#REF!</v>
      </c>
      <c r="HB106" t="e">
        <f>AND(#REF!,"AAAAAGrHb9E=")</f>
        <v>#REF!</v>
      </c>
      <c r="HC106" t="e">
        <f>AND(#REF!,"AAAAAGrHb9I=")</f>
        <v>#REF!</v>
      </c>
      <c r="HD106" t="e">
        <f>AND(#REF!,"AAAAAGrHb9M=")</f>
        <v>#REF!</v>
      </c>
      <c r="HE106" t="e">
        <f>AND(#REF!,"AAAAAGrHb9Q=")</f>
        <v>#REF!</v>
      </c>
      <c r="HF106" t="e">
        <f>IF(#REF!,"AAAAAGrHb9U=",0)</f>
        <v>#REF!</v>
      </c>
      <c r="HG106" t="e">
        <f>AND(#REF!,"AAAAAGrHb9Y=")</f>
        <v>#REF!</v>
      </c>
      <c r="HH106" t="e">
        <f>AND(#REF!,"AAAAAGrHb9c=")</f>
        <v>#REF!</v>
      </c>
      <c r="HI106" t="e">
        <f>AND(#REF!,"AAAAAGrHb9g=")</f>
        <v>#REF!</v>
      </c>
      <c r="HJ106" t="e">
        <f>AND(#REF!,"AAAAAGrHb9k=")</f>
        <v>#REF!</v>
      </c>
      <c r="HK106" t="e">
        <f>AND(#REF!,"AAAAAGrHb9o=")</f>
        <v>#REF!</v>
      </c>
      <c r="HL106" t="e">
        <f>AND(#REF!,"AAAAAGrHb9s=")</f>
        <v>#REF!</v>
      </c>
      <c r="HM106" t="e">
        <f>IF(#REF!,"AAAAAGrHb9w=",0)</f>
        <v>#REF!</v>
      </c>
      <c r="HN106" t="e">
        <f>AND(#REF!,"AAAAAGrHb90=")</f>
        <v>#REF!</v>
      </c>
      <c r="HO106" t="e">
        <f>AND(#REF!,"AAAAAGrHb94=")</f>
        <v>#REF!</v>
      </c>
      <c r="HP106" t="e">
        <f>AND(#REF!,"AAAAAGrHb98=")</f>
        <v>#REF!</v>
      </c>
      <c r="HQ106" t="e">
        <f>AND(#REF!,"AAAAAGrHb+A=")</f>
        <v>#REF!</v>
      </c>
      <c r="HR106" t="e">
        <f>AND(#REF!,"AAAAAGrHb+E=")</f>
        <v>#REF!</v>
      </c>
      <c r="HS106" t="e">
        <f>AND(#REF!,"AAAAAGrHb+I=")</f>
        <v>#REF!</v>
      </c>
      <c r="HT106" t="e">
        <f>IF(#REF!,"AAAAAGrHb+M=",0)</f>
        <v>#REF!</v>
      </c>
      <c r="HU106" t="e">
        <f>AND(#REF!,"AAAAAGrHb+Q=")</f>
        <v>#REF!</v>
      </c>
      <c r="HV106" t="e">
        <f>AND(#REF!,"AAAAAGrHb+U=")</f>
        <v>#REF!</v>
      </c>
      <c r="HW106" t="e">
        <f>AND(#REF!,"AAAAAGrHb+Y=")</f>
        <v>#REF!</v>
      </c>
      <c r="HX106" t="e">
        <f>AND(#REF!,"AAAAAGrHb+c=")</f>
        <v>#REF!</v>
      </c>
      <c r="HY106" t="e">
        <f>AND(#REF!,"AAAAAGrHb+g=")</f>
        <v>#REF!</v>
      </c>
      <c r="HZ106" t="e">
        <f>AND(#REF!,"AAAAAGrHb+k=")</f>
        <v>#REF!</v>
      </c>
      <c r="IA106" t="e">
        <f>IF(#REF!,"AAAAAGrHb+o=",0)</f>
        <v>#REF!</v>
      </c>
      <c r="IB106" t="e">
        <f>AND(#REF!,"AAAAAGrHb+s=")</f>
        <v>#REF!</v>
      </c>
      <c r="IC106" t="e">
        <f>AND(#REF!,"AAAAAGrHb+w=")</f>
        <v>#REF!</v>
      </c>
      <c r="ID106" t="e">
        <f>AND(#REF!,"AAAAAGrHb+0=")</f>
        <v>#REF!</v>
      </c>
      <c r="IE106" t="e">
        <f>AND(#REF!,"AAAAAGrHb+4=")</f>
        <v>#REF!</v>
      </c>
      <c r="IF106" t="e">
        <f>AND(#REF!,"AAAAAGrHb+8=")</f>
        <v>#REF!</v>
      </c>
      <c r="IG106" t="e">
        <f>AND(#REF!,"AAAAAGrHb/A=")</f>
        <v>#REF!</v>
      </c>
      <c r="IH106" t="e">
        <f>IF(#REF!,"AAAAAGrHb/E=",0)</f>
        <v>#REF!</v>
      </c>
      <c r="II106" t="e">
        <f>AND(#REF!,"AAAAAGrHb/I=")</f>
        <v>#REF!</v>
      </c>
      <c r="IJ106" t="e">
        <f>AND(#REF!,"AAAAAGrHb/M=")</f>
        <v>#REF!</v>
      </c>
      <c r="IK106" t="e">
        <f>AND(#REF!,"AAAAAGrHb/Q=")</f>
        <v>#REF!</v>
      </c>
      <c r="IL106" t="e">
        <f>AND(#REF!,"AAAAAGrHb/U=")</f>
        <v>#REF!</v>
      </c>
      <c r="IM106" t="e">
        <f>AND(#REF!,"AAAAAGrHb/Y=")</f>
        <v>#REF!</v>
      </c>
      <c r="IN106" t="e">
        <f>AND(#REF!,"AAAAAGrHb/c=")</f>
        <v>#REF!</v>
      </c>
      <c r="IO106" t="e">
        <f>IF(#REF!,"AAAAAGrHb/g=",0)</f>
        <v>#REF!</v>
      </c>
      <c r="IP106" t="e">
        <f>AND(#REF!,"AAAAAGrHb/k=")</f>
        <v>#REF!</v>
      </c>
      <c r="IQ106" t="e">
        <f>AND(#REF!,"AAAAAGrHb/o=")</f>
        <v>#REF!</v>
      </c>
      <c r="IR106" t="e">
        <f>AND(#REF!,"AAAAAGrHb/s=")</f>
        <v>#REF!</v>
      </c>
      <c r="IS106" t="e">
        <f>AND(#REF!,"AAAAAGrHb/w=")</f>
        <v>#REF!</v>
      </c>
      <c r="IT106" t="e">
        <f>AND(#REF!,"AAAAAGrHb/0=")</f>
        <v>#REF!</v>
      </c>
      <c r="IU106" t="e">
        <f>AND(#REF!,"AAAAAGrHb/4=")</f>
        <v>#REF!</v>
      </c>
      <c r="IV106" t="e">
        <f>IF(#REF!,"AAAAAGrHb/8=",0)</f>
        <v>#REF!</v>
      </c>
    </row>
    <row r="107" spans="1:256" x14ac:dyDescent="0.15">
      <c r="A107" t="e">
        <f>AND(#REF!,"AAAAAH89/QA=")</f>
        <v>#REF!</v>
      </c>
      <c r="B107" t="e">
        <f>AND(#REF!,"AAAAAH89/QE=")</f>
        <v>#REF!</v>
      </c>
      <c r="C107" t="e">
        <f>AND(#REF!,"AAAAAH89/QI=")</f>
        <v>#REF!</v>
      </c>
      <c r="D107" t="e">
        <f>AND(#REF!,"AAAAAH89/QM=")</f>
        <v>#REF!</v>
      </c>
      <c r="E107" t="e">
        <f>AND(#REF!,"AAAAAH89/QQ=")</f>
        <v>#REF!</v>
      </c>
      <c r="F107" t="e">
        <f>AND(#REF!,"AAAAAH89/QU=")</f>
        <v>#REF!</v>
      </c>
      <c r="G107" t="e">
        <f>IF(#REF!,"AAAAAH89/QY=",0)</f>
        <v>#REF!</v>
      </c>
      <c r="H107" t="e">
        <f>AND(#REF!,"AAAAAH89/Qc=")</f>
        <v>#REF!</v>
      </c>
      <c r="I107" t="e">
        <f>AND(#REF!,"AAAAAH89/Qg=")</f>
        <v>#REF!</v>
      </c>
      <c r="J107" t="e">
        <f>AND(#REF!,"AAAAAH89/Qk=")</f>
        <v>#REF!</v>
      </c>
      <c r="K107" t="e">
        <f>AND(#REF!,"AAAAAH89/Qo=")</f>
        <v>#REF!</v>
      </c>
      <c r="L107" t="e">
        <f>AND(#REF!,"AAAAAH89/Qs=")</f>
        <v>#REF!</v>
      </c>
      <c r="M107" t="e">
        <f>AND(#REF!,"AAAAAH89/Qw=")</f>
        <v>#REF!</v>
      </c>
      <c r="N107" t="e">
        <f>IF(#REF!,"AAAAAH89/Q0=",0)</f>
        <v>#REF!</v>
      </c>
      <c r="O107" t="e">
        <f>AND(#REF!,"AAAAAH89/Q4=")</f>
        <v>#REF!</v>
      </c>
      <c r="P107" t="e">
        <f>AND(#REF!,"AAAAAH89/Q8=")</f>
        <v>#REF!</v>
      </c>
      <c r="Q107" t="e">
        <f>AND(#REF!,"AAAAAH89/RA=")</f>
        <v>#REF!</v>
      </c>
      <c r="R107" t="e">
        <f>AND(#REF!,"AAAAAH89/RE=")</f>
        <v>#REF!</v>
      </c>
      <c r="S107" t="e">
        <f>AND(#REF!,"AAAAAH89/RI=")</f>
        <v>#REF!</v>
      </c>
      <c r="T107" t="e">
        <f>AND(#REF!,"AAAAAH89/RM=")</f>
        <v>#REF!</v>
      </c>
      <c r="U107" t="e">
        <f>IF(#REF!,"AAAAAH89/RQ=",0)</f>
        <v>#REF!</v>
      </c>
      <c r="V107" t="e">
        <f>AND(#REF!,"AAAAAH89/RU=")</f>
        <v>#REF!</v>
      </c>
      <c r="W107" t="e">
        <f>AND(#REF!,"AAAAAH89/RY=")</f>
        <v>#REF!</v>
      </c>
      <c r="X107" t="e">
        <f>AND(#REF!,"AAAAAH89/Rc=")</f>
        <v>#REF!</v>
      </c>
      <c r="Y107" t="e">
        <f>AND(#REF!,"AAAAAH89/Rg=")</f>
        <v>#REF!</v>
      </c>
      <c r="Z107" t="e">
        <f>AND(#REF!,"AAAAAH89/Rk=")</f>
        <v>#REF!</v>
      </c>
      <c r="AA107" t="e">
        <f>AND(#REF!,"AAAAAH89/Ro=")</f>
        <v>#REF!</v>
      </c>
      <c r="AB107" t="e">
        <f>IF(#REF!,"AAAAAH89/Rs=",0)</f>
        <v>#REF!</v>
      </c>
      <c r="AC107" t="e">
        <f>AND(#REF!,"AAAAAH89/Rw=")</f>
        <v>#REF!</v>
      </c>
      <c r="AD107" t="e">
        <f>AND(#REF!,"AAAAAH89/R0=")</f>
        <v>#REF!</v>
      </c>
      <c r="AE107" t="e">
        <f>AND(#REF!,"AAAAAH89/R4=")</f>
        <v>#REF!</v>
      </c>
      <c r="AF107" t="e">
        <f>AND(#REF!,"AAAAAH89/R8=")</f>
        <v>#REF!</v>
      </c>
      <c r="AG107" t="e">
        <f>AND(#REF!,"AAAAAH89/SA=")</f>
        <v>#REF!</v>
      </c>
      <c r="AH107" t="e">
        <f>AND(#REF!,"AAAAAH89/SE=")</f>
        <v>#REF!</v>
      </c>
      <c r="AI107" t="e">
        <f>IF(#REF!,"AAAAAH89/SI=",0)</f>
        <v>#REF!</v>
      </c>
      <c r="AJ107" t="e">
        <f>AND(#REF!,"AAAAAH89/SM=")</f>
        <v>#REF!</v>
      </c>
      <c r="AK107" t="e">
        <f>AND(#REF!,"AAAAAH89/SQ=")</f>
        <v>#REF!</v>
      </c>
      <c r="AL107" t="e">
        <f>AND(#REF!,"AAAAAH89/SU=")</f>
        <v>#REF!</v>
      </c>
      <c r="AM107" t="e">
        <f>AND(#REF!,"AAAAAH89/SY=")</f>
        <v>#REF!</v>
      </c>
      <c r="AN107" t="e">
        <f>AND(#REF!,"AAAAAH89/Sc=")</f>
        <v>#REF!</v>
      </c>
      <c r="AO107" t="e">
        <f>AND(#REF!,"AAAAAH89/Sg=")</f>
        <v>#REF!</v>
      </c>
      <c r="AP107" t="e">
        <f>IF(#REF!,"AAAAAH89/Sk=",0)</f>
        <v>#REF!</v>
      </c>
      <c r="AQ107" t="e">
        <f>AND(#REF!,"AAAAAH89/So=")</f>
        <v>#REF!</v>
      </c>
      <c r="AR107" t="e">
        <f>AND(#REF!,"AAAAAH89/Ss=")</f>
        <v>#REF!</v>
      </c>
      <c r="AS107" t="e">
        <f>AND(#REF!,"AAAAAH89/Sw=")</f>
        <v>#REF!</v>
      </c>
      <c r="AT107" t="e">
        <f>AND(#REF!,"AAAAAH89/S0=")</f>
        <v>#REF!</v>
      </c>
      <c r="AU107" t="e">
        <f>AND(#REF!,"AAAAAH89/S4=")</f>
        <v>#REF!</v>
      </c>
      <c r="AV107" t="e">
        <f>AND(#REF!,"AAAAAH89/S8=")</f>
        <v>#REF!</v>
      </c>
      <c r="AW107" t="e">
        <f>IF(#REF!,"AAAAAH89/TA=",0)</f>
        <v>#REF!</v>
      </c>
      <c r="AX107" t="e">
        <f>AND(#REF!,"AAAAAH89/TE=")</f>
        <v>#REF!</v>
      </c>
      <c r="AY107" t="e">
        <f>AND(#REF!,"AAAAAH89/TI=")</f>
        <v>#REF!</v>
      </c>
      <c r="AZ107" t="e">
        <f>AND(#REF!,"AAAAAH89/TM=")</f>
        <v>#REF!</v>
      </c>
      <c r="BA107" t="e">
        <f>AND(#REF!,"AAAAAH89/TQ=")</f>
        <v>#REF!</v>
      </c>
      <c r="BB107" t="e">
        <f>AND(#REF!,"AAAAAH89/TU=")</f>
        <v>#REF!</v>
      </c>
      <c r="BC107" t="e">
        <f>AND(#REF!,"AAAAAH89/TY=")</f>
        <v>#REF!</v>
      </c>
      <c r="BD107" t="e">
        <f>IF(#REF!,"AAAAAH89/Tc=",0)</f>
        <v>#REF!</v>
      </c>
      <c r="BE107" t="e">
        <f>AND(#REF!,"AAAAAH89/Tg=")</f>
        <v>#REF!</v>
      </c>
      <c r="BF107" t="e">
        <f>AND(#REF!,"AAAAAH89/Tk=")</f>
        <v>#REF!</v>
      </c>
      <c r="BG107" t="e">
        <f>AND(#REF!,"AAAAAH89/To=")</f>
        <v>#REF!</v>
      </c>
      <c r="BH107" t="e">
        <f>AND(#REF!,"AAAAAH89/Ts=")</f>
        <v>#REF!</v>
      </c>
      <c r="BI107" t="e">
        <f>AND(#REF!,"AAAAAH89/Tw=")</f>
        <v>#REF!</v>
      </c>
      <c r="BJ107" t="e">
        <f>AND(#REF!,"AAAAAH89/T0=")</f>
        <v>#REF!</v>
      </c>
      <c r="BK107" t="e">
        <f>IF(#REF!,"AAAAAH89/T4=",0)</f>
        <v>#REF!</v>
      </c>
      <c r="BL107" t="e">
        <f>AND(#REF!,"AAAAAH89/T8=")</f>
        <v>#REF!</v>
      </c>
      <c r="BM107" t="e">
        <f>AND(#REF!,"AAAAAH89/UA=")</f>
        <v>#REF!</v>
      </c>
      <c r="BN107" t="e">
        <f>AND(#REF!,"AAAAAH89/UE=")</f>
        <v>#REF!</v>
      </c>
      <c r="BO107" t="e">
        <f>AND(#REF!,"AAAAAH89/UI=")</f>
        <v>#REF!</v>
      </c>
      <c r="BP107" t="e">
        <f>AND(#REF!,"AAAAAH89/UM=")</f>
        <v>#REF!</v>
      </c>
      <c r="BQ107" t="e">
        <f>AND(#REF!,"AAAAAH89/UQ=")</f>
        <v>#REF!</v>
      </c>
      <c r="BR107" t="e">
        <f>IF(#REF!,"AAAAAH89/UU=",0)</f>
        <v>#REF!</v>
      </c>
      <c r="BS107" t="e">
        <f>AND(#REF!,"AAAAAH89/UY=")</f>
        <v>#REF!</v>
      </c>
      <c r="BT107" t="e">
        <f>AND(#REF!,"AAAAAH89/Uc=")</f>
        <v>#REF!</v>
      </c>
      <c r="BU107" t="e">
        <f>AND(#REF!,"AAAAAH89/Ug=")</f>
        <v>#REF!</v>
      </c>
      <c r="BV107" t="e">
        <f>AND(#REF!,"AAAAAH89/Uk=")</f>
        <v>#REF!</v>
      </c>
      <c r="BW107" t="e">
        <f>AND(#REF!,"AAAAAH89/Uo=")</f>
        <v>#REF!</v>
      </c>
      <c r="BX107" t="e">
        <f>AND(#REF!,"AAAAAH89/Us=")</f>
        <v>#REF!</v>
      </c>
      <c r="BY107" t="e">
        <f>IF(#REF!,"AAAAAH89/Uw=",0)</f>
        <v>#REF!</v>
      </c>
      <c r="BZ107" t="e">
        <f>IF(#REF!,"AAAAAH89/U0=",0)</f>
        <v>#REF!</v>
      </c>
      <c r="CA107" t="e">
        <f>IF(#REF!,"AAAAAH89/U4=",0)</f>
        <v>#REF!</v>
      </c>
      <c r="CB107" t="e">
        <f>IF(#REF!,"AAAAAH89/U8=",0)</f>
        <v>#REF!</v>
      </c>
      <c r="CC107" t="e">
        <f>IF(#REF!,"AAAAAH89/VA=",0)</f>
        <v>#REF!</v>
      </c>
      <c r="CD107" t="e">
        <f>IF(#REF!,"AAAAAH89/VE=",0)</f>
        <v>#REF!</v>
      </c>
      <c r="CE107" t="e">
        <f>IF(#REF!,"AAAAAH89/VI=",0)</f>
        <v>#REF!</v>
      </c>
      <c r="CF107" t="e">
        <f>AND(#REF!,"AAAAAH89/VM=")</f>
        <v>#REF!</v>
      </c>
      <c r="CG107" t="e">
        <f>AND(#REF!,"AAAAAH89/VQ=")</f>
        <v>#REF!</v>
      </c>
      <c r="CH107" t="e">
        <f>AND(#REF!,"AAAAAH89/VU=")</f>
        <v>#REF!</v>
      </c>
      <c r="CI107" t="e">
        <f>AND(#REF!,"AAAAAH89/VY=")</f>
        <v>#REF!</v>
      </c>
      <c r="CJ107" t="e">
        <f>AND(#REF!,"AAAAAH89/Vc=")</f>
        <v>#REF!</v>
      </c>
      <c r="CK107" t="e">
        <f>AND(#REF!,"AAAAAH89/Vg=")</f>
        <v>#REF!</v>
      </c>
      <c r="CL107" t="e">
        <f>IF(#REF!,"AAAAAH89/Vk=",0)</f>
        <v>#REF!</v>
      </c>
      <c r="CM107" t="e">
        <f>AND(#REF!,"AAAAAH89/Vo=")</f>
        <v>#REF!</v>
      </c>
      <c r="CN107" t="e">
        <f>AND(#REF!,"AAAAAH89/Vs=")</f>
        <v>#REF!</v>
      </c>
      <c r="CO107" t="e">
        <f>AND(#REF!,"AAAAAH89/Vw=")</f>
        <v>#REF!</v>
      </c>
      <c r="CP107" t="e">
        <f>AND(#REF!,"AAAAAH89/V0=")</f>
        <v>#REF!</v>
      </c>
      <c r="CQ107" t="e">
        <f>AND(#REF!,"AAAAAH89/V4=")</f>
        <v>#REF!</v>
      </c>
      <c r="CR107" t="e">
        <f>AND(#REF!,"AAAAAH89/V8=")</f>
        <v>#REF!</v>
      </c>
      <c r="CS107" t="e">
        <f>IF(#REF!,"AAAAAH89/WA=",0)</f>
        <v>#REF!</v>
      </c>
      <c r="CT107" t="e">
        <f>AND(#REF!,"AAAAAH89/WE=")</f>
        <v>#REF!</v>
      </c>
      <c r="CU107" t="e">
        <f>AND(#REF!,"AAAAAH89/WI=")</f>
        <v>#REF!</v>
      </c>
      <c r="CV107" t="e">
        <f>AND(#REF!,"AAAAAH89/WM=")</f>
        <v>#REF!</v>
      </c>
      <c r="CW107" t="e">
        <f>AND(#REF!,"AAAAAH89/WQ=")</f>
        <v>#REF!</v>
      </c>
      <c r="CX107" t="e">
        <f>AND(#REF!,"AAAAAH89/WU=")</f>
        <v>#REF!</v>
      </c>
      <c r="CY107" t="e">
        <f>AND(#REF!,"AAAAAH89/WY=")</f>
        <v>#REF!</v>
      </c>
      <c r="CZ107" t="e">
        <f>IF(#REF!,"AAAAAH89/Wc=",0)</f>
        <v>#REF!</v>
      </c>
      <c r="DA107" t="e">
        <f>AND(#REF!,"AAAAAH89/Wg=")</f>
        <v>#REF!</v>
      </c>
      <c r="DB107" t="e">
        <f>AND(#REF!,"AAAAAH89/Wk=")</f>
        <v>#REF!</v>
      </c>
      <c r="DC107" t="e">
        <f>AND(#REF!,"AAAAAH89/Wo=")</f>
        <v>#REF!</v>
      </c>
      <c r="DD107" t="e">
        <f>AND(#REF!,"AAAAAH89/Ws=")</f>
        <v>#REF!</v>
      </c>
      <c r="DE107" t="e">
        <f>AND(#REF!,"AAAAAH89/Ww=")</f>
        <v>#REF!</v>
      </c>
      <c r="DF107" t="e">
        <f>AND(#REF!,"AAAAAH89/W0=")</f>
        <v>#REF!</v>
      </c>
      <c r="DG107" t="e">
        <f>IF(#REF!,"AAAAAH89/W4=",0)</f>
        <v>#REF!</v>
      </c>
      <c r="DH107" t="e">
        <f>AND(#REF!,"AAAAAH89/W8=")</f>
        <v>#REF!</v>
      </c>
      <c r="DI107" t="e">
        <f>AND(#REF!,"AAAAAH89/XA=")</f>
        <v>#REF!</v>
      </c>
      <c r="DJ107" t="e">
        <f>AND(#REF!,"AAAAAH89/XE=")</f>
        <v>#REF!</v>
      </c>
      <c r="DK107" t="e">
        <f>AND(#REF!,"AAAAAH89/XI=")</f>
        <v>#REF!</v>
      </c>
      <c r="DL107" t="e">
        <f>AND(#REF!,"AAAAAH89/XM=")</f>
        <v>#REF!</v>
      </c>
      <c r="DM107" t="e">
        <f>AND(#REF!,"AAAAAH89/XQ=")</f>
        <v>#REF!</v>
      </c>
      <c r="DN107" t="e">
        <f>IF(#REF!,"AAAAAH89/XU=",0)</f>
        <v>#REF!</v>
      </c>
      <c r="DO107" t="e">
        <f>AND(#REF!,"AAAAAH89/XY=")</f>
        <v>#REF!</v>
      </c>
      <c r="DP107" t="e">
        <f>AND(#REF!,"AAAAAH89/Xc=")</f>
        <v>#REF!</v>
      </c>
      <c r="DQ107" t="e">
        <f>AND(#REF!,"AAAAAH89/Xg=")</f>
        <v>#REF!</v>
      </c>
      <c r="DR107" t="e">
        <f>AND(#REF!,"AAAAAH89/Xk=")</f>
        <v>#REF!</v>
      </c>
      <c r="DS107" t="e">
        <f>AND(#REF!,"AAAAAH89/Xo=")</f>
        <v>#REF!</v>
      </c>
      <c r="DT107" t="e">
        <f>AND(#REF!,"AAAAAH89/Xs=")</f>
        <v>#REF!</v>
      </c>
      <c r="DU107" t="e">
        <f>IF(#REF!,"AAAAAH89/Xw=",0)</f>
        <v>#REF!</v>
      </c>
      <c r="DV107" t="e">
        <f>AND(#REF!,"AAAAAH89/X0=")</f>
        <v>#REF!</v>
      </c>
      <c r="DW107" t="e">
        <f>AND(#REF!,"AAAAAH89/X4=")</f>
        <v>#REF!</v>
      </c>
      <c r="DX107" t="e">
        <f>AND(#REF!,"AAAAAH89/X8=")</f>
        <v>#REF!</v>
      </c>
      <c r="DY107" t="e">
        <f>AND(#REF!,"AAAAAH89/YA=")</f>
        <v>#REF!</v>
      </c>
      <c r="DZ107" t="e">
        <f>AND(#REF!,"AAAAAH89/YE=")</f>
        <v>#REF!</v>
      </c>
      <c r="EA107" t="e">
        <f>AND(#REF!,"AAAAAH89/YI=")</f>
        <v>#REF!</v>
      </c>
      <c r="EB107" t="e">
        <f>IF(#REF!,"AAAAAH89/YM=",0)</f>
        <v>#REF!</v>
      </c>
      <c r="EC107" t="e">
        <f>AND(#REF!,"AAAAAH89/YQ=")</f>
        <v>#REF!</v>
      </c>
      <c r="ED107" t="e">
        <f>AND(#REF!,"AAAAAH89/YU=")</f>
        <v>#REF!</v>
      </c>
      <c r="EE107" t="e">
        <f>AND(#REF!,"AAAAAH89/YY=")</f>
        <v>#REF!</v>
      </c>
      <c r="EF107" t="e">
        <f>AND(#REF!,"AAAAAH89/Yc=")</f>
        <v>#REF!</v>
      </c>
      <c r="EG107" t="e">
        <f>AND(#REF!,"AAAAAH89/Yg=")</f>
        <v>#REF!</v>
      </c>
      <c r="EH107" t="e">
        <f>AND(#REF!,"AAAAAH89/Yk=")</f>
        <v>#REF!</v>
      </c>
      <c r="EI107" t="e">
        <f>IF(#REF!,"AAAAAH89/Yo=",0)</f>
        <v>#REF!</v>
      </c>
      <c r="EJ107" t="e">
        <f>AND(#REF!,"AAAAAH89/Ys=")</f>
        <v>#REF!</v>
      </c>
      <c r="EK107" t="e">
        <f>AND(#REF!,"AAAAAH89/Yw=")</f>
        <v>#REF!</v>
      </c>
      <c r="EL107" t="e">
        <f>AND(#REF!,"AAAAAH89/Y0=")</f>
        <v>#REF!</v>
      </c>
      <c r="EM107" t="e">
        <f>AND(#REF!,"AAAAAH89/Y4=")</f>
        <v>#REF!</v>
      </c>
      <c r="EN107" t="e">
        <f>AND(#REF!,"AAAAAH89/Y8=")</f>
        <v>#REF!</v>
      </c>
      <c r="EO107" t="e">
        <f>AND(#REF!,"AAAAAH89/ZA=")</f>
        <v>#REF!</v>
      </c>
      <c r="EP107" t="e">
        <f>IF(#REF!,"AAAAAH89/ZE=",0)</f>
        <v>#REF!</v>
      </c>
      <c r="EQ107" t="e">
        <f>AND(#REF!,"AAAAAH89/ZI=")</f>
        <v>#REF!</v>
      </c>
      <c r="ER107" t="e">
        <f>AND(#REF!,"AAAAAH89/ZM=")</f>
        <v>#REF!</v>
      </c>
      <c r="ES107" t="e">
        <f>AND(#REF!,"AAAAAH89/ZQ=")</f>
        <v>#REF!</v>
      </c>
      <c r="ET107" t="e">
        <f>AND(#REF!,"AAAAAH89/ZU=")</f>
        <v>#REF!</v>
      </c>
      <c r="EU107" t="e">
        <f>AND(#REF!,"AAAAAH89/ZY=")</f>
        <v>#REF!</v>
      </c>
      <c r="EV107" t="e">
        <f>AND(#REF!,"AAAAAH89/Zc=")</f>
        <v>#REF!</v>
      </c>
      <c r="EW107" t="e">
        <f>IF(#REF!,"AAAAAH89/Zg=",0)</f>
        <v>#REF!</v>
      </c>
      <c r="EX107" t="e">
        <f>AND(#REF!,"AAAAAH89/Zk=")</f>
        <v>#REF!</v>
      </c>
      <c r="EY107" t="e">
        <f>AND(#REF!,"AAAAAH89/Zo=")</f>
        <v>#REF!</v>
      </c>
      <c r="EZ107" t="e">
        <f>AND(#REF!,"AAAAAH89/Zs=")</f>
        <v>#REF!</v>
      </c>
      <c r="FA107" t="e">
        <f>AND(#REF!,"AAAAAH89/Zw=")</f>
        <v>#REF!</v>
      </c>
      <c r="FB107" t="e">
        <f>AND(#REF!,"AAAAAH89/Z0=")</f>
        <v>#REF!</v>
      </c>
      <c r="FC107" t="e">
        <f>AND(#REF!,"AAAAAH89/Z4=")</f>
        <v>#REF!</v>
      </c>
      <c r="FD107" t="e">
        <f>IF(#REF!,"AAAAAH89/Z8=",0)</f>
        <v>#REF!</v>
      </c>
      <c r="FE107" t="e">
        <f>AND(#REF!,"AAAAAH89/aA=")</f>
        <v>#REF!</v>
      </c>
      <c r="FF107" t="e">
        <f>AND(#REF!,"AAAAAH89/aE=")</f>
        <v>#REF!</v>
      </c>
      <c r="FG107" t="e">
        <f>AND(#REF!,"AAAAAH89/aI=")</f>
        <v>#REF!</v>
      </c>
      <c r="FH107" t="e">
        <f>AND(#REF!,"AAAAAH89/aM=")</f>
        <v>#REF!</v>
      </c>
      <c r="FI107" t="e">
        <f>AND(#REF!,"AAAAAH89/aQ=")</f>
        <v>#REF!</v>
      </c>
      <c r="FJ107" t="e">
        <f>AND(#REF!,"AAAAAH89/aU=")</f>
        <v>#REF!</v>
      </c>
      <c r="FK107" t="e">
        <f>IF(#REF!,"AAAAAH89/aY=",0)</f>
        <v>#REF!</v>
      </c>
      <c r="FL107" t="e">
        <f>AND(#REF!,"AAAAAH89/ac=")</f>
        <v>#REF!</v>
      </c>
      <c r="FM107" t="e">
        <f>AND(#REF!,"AAAAAH89/ag=")</f>
        <v>#REF!</v>
      </c>
      <c r="FN107" t="e">
        <f>AND(#REF!,"AAAAAH89/ak=")</f>
        <v>#REF!</v>
      </c>
      <c r="FO107" t="e">
        <f>AND(#REF!,"AAAAAH89/ao=")</f>
        <v>#REF!</v>
      </c>
      <c r="FP107" t="e">
        <f>AND(#REF!,"AAAAAH89/as=")</f>
        <v>#REF!</v>
      </c>
      <c r="FQ107" t="e">
        <f>AND(#REF!,"AAAAAH89/aw=")</f>
        <v>#REF!</v>
      </c>
      <c r="FR107" t="e">
        <f>IF(#REF!,"AAAAAH89/a0=",0)</f>
        <v>#REF!</v>
      </c>
      <c r="FS107" t="e">
        <f>AND(#REF!,"AAAAAH89/a4=")</f>
        <v>#REF!</v>
      </c>
      <c r="FT107" t="e">
        <f>AND(#REF!,"AAAAAH89/a8=")</f>
        <v>#REF!</v>
      </c>
      <c r="FU107" t="e">
        <f>AND(#REF!,"AAAAAH89/bA=")</f>
        <v>#REF!</v>
      </c>
      <c r="FV107" t="e">
        <f>AND(#REF!,"AAAAAH89/bE=")</f>
        <v>#REF!</v>
      </c>
      <c r="FW107" t="e">
        <f>AND(#REF!,"AAAAAH89/bI=")</f>
        <v>#REF!</v>
      </c>
      <c r="FX107" t="e">
        <f>AND(#REF!,"AAAAAH89/bM=")</f>
        <v>#REF!</v>
      </c>
      <c r="FY107" t="e">
        <f>IF(#REF!,"AAAAAH89/bQ=",0)</f>
        <v>#REF!</v>
      </c>
      <c r="FZ107" t="e">
        <f>AND(#REF!,"AAAAAH89/bU=")</f>
        <v>#REF!</v>
      </c>
      <c r="GA107" t="e">
        <f>AND(#REF!,"AAAAAH89/bY=")</f>
        <v>#REF!</v>
      </c>
      <c r="GB107" t="e">
        <f>AND(#REF!,"AAAAAH89/bc=")</f>
        <v>#REF!</v>
      </c>
      <c r="GC107" t="e">
        <f>AND(#REF!,"AAAAAH89/bg=")</f>
        <v>#REF!</v>
      </c>
      <c r="GD107" t="e">
        <f>AND(#REF!,"AAAAAH89/bk=")</f>
        <v>#REF!</v>
      </c>
      <c r="GE107" t="e">
        <f>AND(#REF!,"AAAAAH89/bo=")</f>
        <v>#REF!</v>
      </c>
      <c r="GF107" t="e">
        <f>IF(#REF!,"AAAAAH89/bs=",0)</f>
        <v>#REF!</v>
      </c>
      <c r="GG107" t="e">
        <f>AND(#REF!,"AAAAAH89/bw=")</f>
        <v>#REF!</v>
      </c>
      <c r="GH107" t="e">
        <f>AND(#REF!,"AAAAAH89/b0=")</f>
        <v>#REF!</v>
      </c>
      <c r="GI107" t="e">
        <f>AND(#REF!,"AAAAAH89/b4=")</f>
        <v>#REF!</v>
      </c>
      <c r="GJ107" t="e">
        <f>AND(#REF!,"AAAAAH89/b8=")</f>
        <v>#REF!</v>
      </c>
      <c r="GK107" t="e">
        <f>AND(#REF!,"AAAAAH89/cA=")</f>
        <v>#REF!</v>
      </c>
      <c r="GL107" t="e">
        <f>AND(#REF!,"AAAAAH89/cE=")</f>
        <v>#REF!</v>
      </c>
      <c r="GM107" t="e">
        <f>IF(#REF!,"AAAAAH89/cI=",0)</f>
        <v>#REF!</v>
      </c>
      <c r="GN107" t="e">
        <f>AND(#REF!,"AAAAAH89/cM=")</f>
        <v>#REF!</v>
      </c>
      <c r="GO107" t="e">
        <f>AND(#REF!,"AAAAAH89/cQ=")</f>
        <v>#REF!</v>
      </c>
      <c r="GP107" t="e">
        <f>AND(#REF!,"AAAAAH89/cU=")</f>
        <v>#REF!</v>
      </c>
      <c r="GQ107" t="e">
        <f>AND(#REF!,"AAAAAH89/cY=")</f>
        <v>#REF!</v>
      </c>
      <c r="GR107" t="e">
        <f>AND(#REF!,"AAAAAH89/cc=")</f>
        <v>#REF!</v>
      </c>
      <c r="GS107" t="e">
        <f>AND(#REF!,"AAAAAH89/cg=")</f>
        <v>#REF!</v>
      </c>
      <c r="GT107" t="e">
        <f>IF(#REF!,"AAAAAH89/ck=",0)</f>
        <v>#REF!</v>
      </c>
      <c r="GU107" t="e">
        <f>AND(#REF!,"AAAAAH89/co=")</f>
        <v>#REF!</v>
      </c>
      <c r="GV107" t="e">
        <f>AND(#REF!,"AAAAAH89/cs=")</f>
        <v>#REF!</v>
      </c>
      <c r="GW107" t="e">
        <f>AND(#REF!,"AAAAAH89/cw=")</f>
        <v>#REF!</v>
      </c>
      <c r="GX107" t="e">
        <f>AND(#REF!,"AAAAAH89/c0=")</f>
        <v>#REF!</v>
      </c>
      <c r="GY107" t="e">
        <f>AND(#REF!,"AAAAAH89/c4=")</f>
        <v>#REF!</v>
      </c>
      <c r="GZ107" t="e">
        <f>AND(#REF!,"AAAAAH89/c8=")</f>
        <v>#REF!</v>
      </c>
      <c r="HA107" t="e">
        <f>IF(#REF!,"AAAAAH89/dA=",0)</f>
        <v>#REF!</v>
      </c>
      <c r="HB107" t="e">
        <f>AND(#REF!,"AAAAAH89/dE=")</f>
        <v>#REF!</v>
      </c>
      <c r="HC107" t="e">
        <f>AND(#REF!,"AAAAAH89/dI=")</f>
        <v>#REF!</v>
      </c>
      <c r="HD107" t="e">
        <f>AND(#REF!,"AAAAAH89/dM=")</f>
        <v>#REF!</v>
      </c>
      <c r="HE107" t="e">
        <f>AND(#REF!,"AAAAAH89/dQ=")</f>
        <v>#REF!</v>
      </c>
      <c r="HF107" t="e">
        <f>AND(#REF!,"AAAAAH89/dU=")</f>
        <v>#REF!</v>
      </c>
      <c r="HG107" t="e">
        <f>AND(#REF!,"AAAAAH89/dY=")</f>
        <v>#REF!</v>
      </c>
      <c r="HH107" t="e">
        <f>IF(#REF!,"AAAAAH89/dc=",0)</f>
        <v>#REF!</v>
      </c>
      <c r="HI107" t="e">
        <f>AND(#REF!,"AAAAAH89/dg=")</f>
        <v>#REF!</v>
      </c>
      <c r="HJ107" t="e">
        <f>AND(#REF!,"AAAAAH89/dk=")</f>
        <v>#REF!</v>
      </c>
      <c r="HK107" t="e">
        <f>AND(#REF!,"AAAAAH89/do=")</f>
        <v>#REF!</v>
      </c>
      <c r="HL107" t="e">
        <f>AND(#REF!,"AAAAAH89/ds=")</f>
        <v>#REF!</v>
      </c>
      <c r="HM107" t="e">
        <f>AND(#REF!,"AAAAAH89/dw=")</f>
        <v>#REF!</v>
      </c>
      <c r="HN107" t="e">
        <f>AND(#REF!,"AAAAAH89/d0=")</f>
        <v>#REF!</v>
      </c>
      <c r="HO107" t="e">
        <f>IF(#REF!,"AAAAAH89/d4=",0)</f>
        <v>#REF!</v>
      </c>
      <c r="HP107" t="e">
        <f>AND(#REF!,"AAAAAH89/d8=")</f>
        <v>#REF!</v>
      </c>
      <c r="HQ107" t="e">
        <f>AND(#REF!,"AAAAAH89/eA=")</f>
        <v>#REF!</v>
      </c>
      <c r="HR107" t="e">
        <f>AND(#REF!,"AAAAAH89/eE=")</f>
        <v>#REF!</v>
      </c>
      <c r="HS107" t="e">
        <f>AND(#REF!,"AAAAAH89/eI=")</f>
        <v>#REF!</v>
      </c>
      <c r="HT107" t="e">
        <f>AND(#REF!,"AAAAAH89/eM=")</f>
        <v>#REF!</v>
      </c>
      <c r="HU107" t="e">
        <f>AND(#REF!,"AAAAAH89/eQ=")</f>
        <v>#REF!</v>
      </c>
      <c r="HV107" t="e">
        <f>IF(#REF!,"AAAAAH89/eU=",0)</f>
        <v>#REF!</v>
      </c>
      <c r="HW107" t="e">
        <f>AND(#REF!,"AAAAAH89/eY=")</f>
        <v>#REF!</v>
      </c>
      <c r="HX107" t="e">
        <f>AND(#REF!,"AAAAAH89/ec=")</f>
        <v>#REF!</v>
      </c>
      <c r="HY107" t="e">
        <f>AND(#REF!,"AAAAAH89/eg=")</f>
        <v>#REF!</v>
      </c>
      <c r="HZ107" t="e">
        <f>AND(#REF!,"AAAAAH89/ek=")</f>
        <v>#REF!</v>
      </c>
      <c r="IA107" t="e">
        <f>AND(#REF!,"AAAAAH89/eo=")</f>
        <v>#REF!</v>
      </c>
      <c r="IB107" t="e">
        <f>AND(#REF!,"AAAAAH89/es=")</f>
        <v>#REF!</v>
      </c>
      <c r="IC107" t="e">
        <f>IF(#REF!,"AAAAAH89/ew=",0)</f>
        <v>#REF!</v>
      </c>
      <c r="ID107" t="e">
        <f>AND(#REF!,"AAAAAH89/e0=")</f>
        <v>#REF!</v>
      </c>
      <c r="IE107" t="e">
        <f>AND(#REF!,"AAAAAH89/e4=")</f>
        <v>#REF!</v>
      </c>
      <c r="IF107" t="e">
        <f>AND(#REF!,"AAAAAH89/e8=")</f>
        <v>#REF!</v>
      </c>
      <c r="IG107" t="e">
        <f>AND(#REF!,"AAAAAH89/fA=")</f>
        <v>#REF!</v>
      </c>
      <c r="IH107" t="e">
        <f>AND(#REF!,"AAAAAH89/fE=")</f>
        <v>#REF!</v>
      </c>
      <c r="II107" t="e">
        <f>AND(#REF!,"AAAAAH89/fI=")</f>
        <v>#REF!</v>
      </c>
      <c r="IJ107" t="e">
        <f>IF(#REF!,"AAAAAH89/fM=",0)</f>
        <v>#REF!</v>
      </c>
      <c r="IK107" t="e">
        <f>AND(#REF!,"AAAAAH89/fQ=")</f>
        <v>#REF!</v>
      </c>
      <c r="IL107" t="e">
        <f>AND(#REF!,"AAAAAH89/fU=")</f>
        <v>#REF!</v>
      </c>
      <c r="IM107" t="e">
        <f>AND(#REF!,"AAAAAH89/fY=")</f>
        <v>#REF!</v>
      </c>
      <c r="IN107" t="e">
        <f>AND(#REF!,"AAAAAH89/fc=")</f>
        <v>#REF!</v>
      </c>
      <c r="IO107" t="e">
        <f>AND(#REF!,"AAAAAH89/fg=")</f>
        <v>#REF!</v>
      </c>
      <c r="IP107" t="e">
        <f>AND(#REF!,"AAAAAH89/fk=")</f>
        <v>#REF!</v>
      </c>
      <c r="IQ107" t="e">
        <f>IF(#REF!,"AAAAAH89/fo=",0)</f>
        <v>#REF!</v>
      </c>
      <c r="IR107" t="e">
        <f>AND(#REF!,"AAAAAH89/fs=")</f>
        <v>#REF!</v>
      </c>
      <c r="IS107" t="e">
        <f>AND(#REF!,"AAAAAH89/fw=")</f>
        <v>#REF!</v>
      </c>
      <c r="IT107" t="e">
        <f>AND(#REF!,"AAAAAH89/f0=")</f>
        <v>#REF!</v>
      </c>
      <c r="IU107" t="e">
        <f>AND(#REF!,"AAAAAH89/f4=")</f>
        <v>#REF!</v>
      </c>
      <c r="IV107" t="e">
        <f>AND(#REF!,"AAAAAH89/f8=")</f>
        <v>#REF!</v>
      </c>
    </row>
    <row r="108" spans="1:256" x14ac:dyDescent="0.15">
      <c r="A108" t="e">
        <f>AND(#REF!,"AAAAAH96qwA=")</f>
        <v>#REF!</v>
      </c>
      <c r="B108" t="e">
        <f>IF(#REF!,"AAAAAH96qwE=",0)</f>
        <v>#REF!</v>
      </c>
      <c r="C108" t="e">
        <f>AND(#REF!,"AAAAAH96qwI=")</f>
        <v>#REF!</v>
      </c>
      <c r="D108" t="e">
        <f>AND(#REF!,"AAAAAH96qwM=")</f>
        <v>#REF!</v>
      </c>
      <c r="E108" t="e">
        <f>AND(#REF!,"AAAAAH96qwQ=")</f>
        <v>#REF!</v>
      </c>
      <c r="F108" t="e">
        <f>AND(#REF!,"AAAAAH96qwU=")</f>
        <v>#REF!</v>
      </c>
      <c r="G108" t="e">
        <f>AND(#REF!,"AAAAAH96qwY=")</f>
        <v>#REF!</v>
      </c>
      <c r="H108" t="e">
        <f>AND(#REF!,"AAAAAH96qwc=")</f>
        <v>#REF!</v>
      </c>
      <c r="I108" t="e">
        <f>IF(#REF!,"AAAAAH96qwg=",0)</f>
        <v>#REF!</v>
      </c>
      <c r="J108" t="e">
        <f>AND(#REF!,"AAAAAH96qwk=")</f>
        <v>#REF!</v>
      </c>
      <c r="K108" t="e">
        <f>AND(#REF!,"AAAAAH96qwo=")</f>
        <v>#REF!</v>
      </c>
      <c r="L108" t="e">
        <f>AND(#REF!,"AAAAAH96qws=")</f>
        <v>#REF!</v>
      </c>
      <c r="M108" t="e">
        <f>AND(#REF!,"AAAAAH96qww=")</f>
        <v>#REF!</v>
      </c>
      <c r="N108" t="e">
        <f>AND(#REF!,"AAAAAH96qw0=")</f>
        <v>#REF!</v>
      </c>
      <c r="O108" t="e">
        <f>AND(#REF!,"AAAAAH96qw4=")</f>
        <v>#REF!</v>
      </c>
      <c r="P108" t="e">
        <f>IF(#REF!,"AAAAAH96qw8=",0)</f>
        <v>#REF!</v>
      </c>
      <c r="Q108" t="e">
        <f>AND(#REF!,"AAAAAH96qxA=")</f>
        <v>#REF!</v>
      </c>
      <c r="R108" t="e">
        <f>AND(#REF!,"AAAAAH96qxE=")</f>
        <v>#REF!</v>
      </c>
      <c r="S108" t="e">
        <f>AND(#REF!,"AAAAAH96qxI=")</f>
        <v>#REF!</v>
      </c>
      <c r="T108" t="e">
        <f>AND(#REF!,"AAAAAH96qxM=")</f>
        <v>#REF!</v>
      </c>
      <c r="U108" t="e">
        <f>AND(#REF!,"AAAAAH96qxQ=")</f>
        <v>#REF!</v>
      </c>
      <c r="V108" t="e">
        <f>AND(#REF!,"AAAAAH96qxU=")</f>
        <v>#REF!</v>
      </c>
      <c r="W108" t="e">
        <f>IF(#REF!,"AAAAAH96qxY=",0)</f>
        <v>#REF!</v>
      </c>
      <c r="X108" t="e">
        <f>AND(#REF!,"AAAAAH96qxc=")</f>
        <v>#REF!</v>
      </c>
      <c r="Y108" t="e">
        <f>AND(#REF!,"AAAAAH96qxg=")</f>
        <v>#REF!</v>
      </c>
      <c r="Z108" t="e">
        <f>AND(#REF!,"AAAAAH96qxk=")</f>
        <v>#REF!</v>
      </c>
      <c r="AA108" t="e">
        <f>AND(#REF!,"AAAAAH96qxo=")</f>
        <v>#REF!</v>
      </c>
      <c r="AB108" t="e">
        <f>AND(#REF!,"AAAAAH96qxs=")</f>
        <v>#REF!</v>
      </c>
      <c r="AC108" t="e">
        <f>AND(#REF!,"AAAAAH96qxw=")</f>
        <v>#REF!</v>
      </c>
      <c r="AD108" t="e">
        <f>IF(#REF!,"AAAAAH96qx0=",0)</f>
        <v>#REF!</v>
      </c>
      <c r="AE108" t="e">
        <f>AND(#REF!,"AAAAAH96qx4=")</f>
        <v>#REF!</v>
      </c>
      <c r="AF108" t="e">
        <f>AND(#REF!,"AAAAAH96qx8=")</f>
        <v>#REF!</v>
      </c>
      <c r="AG108" t="e">
        <f>AND(#REF!,"AAAAAH96qyA=")</f>
        <v>#REF!</v>
      </c>
      <c r="AH108" t="e">
        <f>AND(#REF!,"AAAAAH96qyE=")</f>
        <v>#REF!</v>
      </c>
      <c r="AI108" t="e">
        <f>AND(#REF!,"AAAAAH96qyI=")</f>
        <v>#REF!</v>
      </c>
      <c r="AJ108" t="e">
        <f>AND(#REF!,"AAAAAH96qyM=")</f>
        <v>#REF!</v>
      </c>
      <c r="AK108" t="e">
        <f>IF(#REF!,"AAAAAH96qyQ=",0)</f>
        <v>#REF!</v>
      </c>
      <c r="AL108" t="e">
        <f>AND(#REF!,"AAAAAH96qyU=")</f>
        <v>#REF!</v>
      </c>
      <c r="AM108" t="e">
        <f>AND(#REF!,"AAAAAH96qyY=")</f>
        <v>#REF!</v>
      </c>
      <c r="AN108" t="e">
        <f>AND(#REF!,"AAAAAH96qyc=")</f>
        <v>#REF!</v>
      </c>
      <c r="AO108" t="e">
        <f>AND(#REF!,"AAAAAH96qyg=")</f>
        <v>#REF!</v>
      </c>
      <c r="AP108" t="e">
        <f>AND(#REF!,"AAAAAH96qyk=")</f>
        <v>#REF!</v>
      </c>
      <c r="AQ108" t="e">
        <f>AND(#REF!,"AAAAAH96qyo=")</f>
        <v>#REF!</v>
      </c>
      <c r="AR108" t="e">
        <f>IF(#REF!,"AAAAAH96qys=",0)</f>
        <v>#REF!</v>
      </c>
      <c r="AS108" t="e">
        <f>AND(#REF!,"AAAAAH96qyw=")</f>
        <v>#REF!</v>
      </c>
      <c r="AT108" t="e">
        <f>AND(#REF!,"AAAAAH96qy0=")</f>
        <v>#REF!</v>
      </c>
      <c r="AU108" t="e">
        <f>AND(#REF!,"AAAAAH96qy4=")</f>
        <v>#REF!</v>
      </c>
      <c r="AV108" t="e">
        <f>AND(#REF!,"AAAAAH96qy8=")</f>
        <v>#REF!</v>
      </c>
      <c r="AW108" t="e">
        <f>AND(#REF!,"AAAAAH96qzA=")</f>
        <v>#REF!</v>
      </c>
      <c r="AX108" t="e">
        <f>AND(#REF!,"AAAAAH96qzE=")</f>
        <v>#REF!</v>
      </c>
      <c r="AY108" t="e">
        <f>IF(#REF!,"AAAAAH96qzI=",0)</f>
        <v>#REF!</v>
      </c>
      <c r="AZ108" t="e">
        <f>AND(#REF!,"AAAAAH96qzM=")</f>
        <v>#REF!</v>
      </c>
      <c r="BA108" t="e">
        <f>AND(#REF!,"AAAAAH96qzQ=")</f>
        <v>#REF!</v>
      </c>
      <c r="BB108" t="e">
        <f>AND(#REF!,"AAAAAH96qzU=")</f>
        <v>#REF!</v>
      </c>
      <c r="BC108" t="e">
        <f>AND(#REF!,"AAAAAH96qzY=")</f>
        <v>#REF!</v>
      </c>
      <c r="BD108" t="e">
        <f>AND(#REF!,"AAAAAH96qzc=")</f>
        <v>#REF!</v>
      </c>
      <c r="BE108" t="e">
        <f>AND(#REF!,"AAAAAH96qzg=")</f>
        <v>#REF!</v>
      </c>
      <c r="BF108" t="e">
        <f>IF(#REF!,"AAAAAH96qzk=",0)</f>
        <v>#REF!</v>
      </c>
      <c r="BG108" t="e">
        <f>AND(#REF!,"AAAAAH96qzo=")</f>
        <v>#REF!</v>
      </c>
      <c r="BH108" t="e">
        <f>AND(#REF!,"AAAAAH96qzs=")</f>
        <v>#REF!</v>
      </c>
      <c r="BI108" t="e">
        <f>AND(#REF!,"AAAAAH96qzw=")</f>
        <v>#REF!</v>
      </c>
      <c r="BJ108" t="e">
        <f>AND(#REF!,"AAAAAH96qz0=")</f>
        <v>#REF!</v>
      </c>
      <c r="BK108" t="e">
        <f>AND(#REF!,"AAAAAH96qz4=")</f>
        <v>#REF!</v>
      </c>
      <c r="BL108" t="e">
        <f>AND(#REF!,"AAAAAH96qz8=")</f>
        <v>#REF!</v>
      </c>
      <c r="BM108" t="e">
        <f>IF(#REF!,"AAAAAH96q0A=",0)</f>
        <v>#REF!</v>
      </c>
      <c r="BN108" t="e">
        <f>AND(#REF!,"AAAAAH96q0E=")</f>
        <v>#REF!</v>
      </c>
      <c r="BO108" t="e">
        <f>AND(#REF!,"AAAAAH96q0I=")</f>
        <v>#REF!</v>
      </c>
      <c r="BP108" t="e">
        <f>AND(#REF!,"AAAAAH96q0M=")</f>
        <v>#REF!</v>
      </c>
      <c r="BQ108" t="e">
        <f>AND(#REF!,"AAAAAH96q0Q=")</f>
        <v>#REF!</v>
      </c>
      <c r="BR108" t="e">
        <f>AND(#REF!,"AAAAAH96q0U=")</f>
        <v>#REF!</v>
      </c>
      <c r="BS108" t="e">
        <f>AND(#REF!,"AAAAAH96q0Y=")</f>
        <v>#REF!</v>
      </c>
      <c r="BT108" t="e">
        <f>IF(#REF!,"AAAAAH96q0c=",0)</f>
        <v>#REF!</v>
      </c>
      <c r="BU108" t="e">
        <f>AND(#REF!,"AAAAAH96q0g=")</f>
        <v>#REF!</v>
      </c>
      <c r="BV108" t="e">
        <f>AND(#REF!,"AAAAAH96q0k=")</f>
        <v>#REF!</v>
      </c>
      <c r="BW108" t="e">
        <f>AND(#REF!,"AAAAAH96q0o=")</f>
        <v>#REF!</v>
      </c>
      <c r="BX108" t="e">
        <f>AND(#REF!,"AAAAAH96q0s=")</f>
        <v>#REF!</v>
      </c>
      <c r="BY108" t="e">
        <f>AND(#REF!,"AAAAAH96q0w=")</f>
        <v>#REF!</v>
      </c>
      <c r="BZ108" t="e">
        <f>AND(#REF!,"AAAAAH96q00=")</f>
        <v>#REF!</v>
      </c>
      <c r="CA108" t="e">
        <f>IF(#REF!,"AAAAAH96q04=",0)</f>
        <v>#REF!</v>
      </c>
      <c r="CB108" t="e">
        <f>AND(#REF!,"AAAAAH96q08=")</f>
        <v>#REF!</v>
      </c>
      <c r="CC108" t="e">
        <f>AND(#REF!,"AAAAAH96q1A=")</f>
        <v>#REF!</v>
      </c>
      <c r="CD108" t="e">
        <f>AND(#REF!,"AAAAAH96q1E=")</f>
        <v>#REF!</v>
      </c>
      <c r="CE108" t="e">
        <f>AND(#REF!,"AAAAAH96q1I=")</f>
        <v>#REF!</v>
      </c>
      <c r="CF108" t="e">
        <f>AND(#REF!,"AAAAAH96q1M=")</f>
        <v>#REF!</v>
      </c>
      <c r="CG108" t="e">
        <f>AND(#REF!,"AAAAAH96q1Q=")</f>
        <v>#REF!</v>
      </c>
      <c r="CH108" t="e">
        <f>IF(#REF!,"AAAAAH96q1U=",0)</f>
        <v>#REF!</v>
      </c>
      <c r="CI108" t="e">
        <f>AND(#REF!,"AAAAAH96q1Y=")</f>
        <v>#REF!</v>
      </c>
      <c r="CJ108" t="e">
        <f>AND(#REF!,"AAAAAH96q1c=")</f>
        <v>#REF!</v>
      </c>
      <c r="CK108" t="e">
        <f>AND(#REF!,"AAAAAH96q1g=")</f>
        <v>#REF!</v>
      </c>
      <c r="CL108" t="e">
        <f>AND(#REF!,"AAAAAH96q1k=")</f>
        <v>#REF!</v>
      </c>
      <c r="CM108" t="e">
        <f>AND(#REF!,"AAAAAH96q1o=")</f>
        <v>#REF!</v>
      </c>
      <c r="CN108" t="e">
        <f>AND(#REF!,"AAAAAH96q1s=")</f>
        <v>#REF!</v>
      </c>
      <c r="CO108" t="e">
        <f>IF(#REF!,"AAAAAH96q1w=",0)</f>
        <v>#REF!</v>
      </c>
      <c r="CP108" t="e">
        <f>AND(#REF!,"AAAAAH96q10=")</f>
        <v>#REF!</v>
      </c>
      <c r="CQ108" t="e">
        <f>AND(#REF!,"AAAAAH96q14=")</f>
        <v>#REF!</v>
      </c>
      <c r="CR108" t="e">
        <f>AND(#REF!,"AAAAAH96q18=")</f>
        <v>#REF!</v>
      </c>
      <c r="CS108" t="e">
        <f>AND(#REF!,"AAAAAH96q2A=")</f>
        <v>#REF!</v>
      </c>
      <c r="CT108" t="e">
        <f>AND(#REF!,"AAAAAH96q2E=")</f>
        <v>#REF!</v>
      </c>
      <c r="CU108" t="e">
        <f>AND(#REF!,"AAAAAH96q2I=")</f>
        <v>#REF!</v>
      </c>
      <c r="CV108" t="e">
        <f>IF(#REF!,"AAAAAH96q2M=",0)</f>
        <v>#REF!</v>
      </c>
      <c r="CW108" t="e">
        <f>AND(#REF!,"AAAAAH96q2Q=")</f>
        <v>#REF!</v>
      </c>
      <c r="CX108" t="e">
        <f>AND(#REF!,"AAAAAH96q2U=")</f>
        <v>#REF!</v>
      </c>
      <c r="CY108" t="e">
        <f>AND(#REF!,"AAAAAH96q2Y=")</f>
        <v>#REF!</v>
      </c>
      <c r="CZ108" t="e">
        <f>AND(#REF!,"AAAAAH96q2c=")</f>
        <v>#REF!</v>
      </c>
      <c r="DA108" t="e">
        <f>AND(#REF!,"AAAAAH96q2g=")</f>
        <v>#REF!</v>
      </c>
      <c r="DB108" t="e">
        <f>AND(#REF!,"AAAAAH96q2k=")</f>
        <v>#REF!</v>
      </c>
      <c r="DC108" t="e">
        <f>IF(#REF!,"AAAAAH96q2o=",0)</f>
        <v>#REF!</v>
      </c>
      <c r="DD108" t="e">
        <f>AND(#REF!,"AAAAAH96q2s=")</f>
        <v>#REF!</v>
      </c>
      <c r="DE108" t="e">
        <f>AND(#REF!,"AAAAAH96q2w=")</f>
        <v>#REF!</v>
      </c>
      <c r="DF108" t="e">
        <f>AND(#REF!,"AAAAAH96q20=")</f>
        <v>#REF!</v>
      </c>
      <c r="DG108" t="e">
        <f>AND(#REF!,"AAAAAH96q24=")</f>
        <v>#REF!</v>
      </c>
      <c r="DH108" t="e">
        <f>AND(#REF!,"AAAAAH96q28=")</f>
        <v>#REF!</v>
      </c>
      <c r="DI108" t="e">
        <f>AND(#REF!,"AAAAAH96q3A=")</f>
        <v>#REF!</v>
      </c>
      <c r="DJ108" t="e">
        <f>IF(#REF!,"AAAAAH96q3E=",0)</f>
        <v>#REF!</v>
      </c>
      <c r="DK108" t="e">
        <f>AND(#REF!,"AAAAAH96q3I=")</f>
        <v>#REF!</v>
      </c>
      <c r="DL108" t="e">
        <f>AND(#REF!,"AAAAAH96q3M=")</f>
        <v>#REF!</v>
      </c>
      <c r="DM108" t="e">
        <f>AND(#REF!,"AAAAAH96q3Q=")</f>
        <v>#REF!</v>
      </c>
      <c r="DN108" t="e">
        <f>AND(#REF!,"AAAAAH96q3U=")</f>
        <v>#REF!</v>
      </c>
      <c r="DO108" t="e">
        <f>AND(#REF!,"AAAAAH96q3Y=")</f>
        <v>#REF!</v>
      </c>
      <c r="DP108" t="e">
        <f>AND(#REF!,"AAAAAH96q3c=")</f>
        <v>#REF!</v>
      </c>
      <c r="DQ108" t="e">
        <f>IF(#REF!,"AAAAAH96q3g=",0)</f>
        <v>#REF!</v>
      </c>
      <c r="DR108" t="e">
        <f>AND(#REF!,"AAAAAH96q3k=")</f>
        <v>#REF!</v>
      </c>
      <c r="DS108" t="e">
        <f>AND(#REF!,"AAAAAH96q3o=")</f>
        <v>#REF!</v>
      </c>
      <c r="DT108" t="e">
        <f>AND(#REF!,"AAAAAH96q3s=")</f>
        <v>#REF!</v>
      </c>
      <c r="DU108" t="e">
        <f>AND(#REF!,"AAAAAH96q3w=")</f>
        <v>#REF!</v>
      </c>
      <c r="DV108" t="e">
        <f>AND(#REF!,"AAAAAH96q30=")</f>
        <v>#REF!</v>
      </c>
      <c r="DW108" t="e">
        <f>AND(#REF!,"AAAAAH96q34=")</f>
        <v>#REF!</v>
      </c>
      <c r="DX108" t="e">
        <f>IF(#REF!,"AAAAAH96q38=",0)</f>
        <v>#REF!</v>
      </c>
      <c r="DY108" t="e">
        <f>AND(#REF!,"AAAAAH96q4A=")</f>
        <v>#REF!</v>
      </c>
      <c r="DZ108" t="e">
        <f>AND(#REF!,"AAAAAH96q4E=")</f>
        <v>#REF!</v>
      </c>
      <c r="EA108" t="e">
        <f>AND(#REF!,"AAAAAH96q4I=")</f>
        <v>#REF!</v>
      </c>
      <c r="EB108" t="e">
        <f>AND(#REF!,"AAAAAH96q4M=")</f>
        <v>#REF!</v>
      </c>
      <c r="EC108" t="e">
        <f>AND(#REF!,"AAAAAH96q4Q=")</f>
        <v>#REF!</v>
      </c>
      <c r="ED108" t="e">
        <f>AND(#REF!,"AAAAAH96q4U=")</f>
        <v>#REF!</v>
      </c>
      <c r="EE108" t="e">
        <f>IF(#REF!,"AAAAAH96q4Y=",0)</f>
        <v>#REF!</v>
      </c>
      <c r="EF108" t="e">
        <f>AND(#REF!,"AAAAAH96q4c=")</f>
        <v>#REF!</v>
      </c>
      <c r="EG108" t="e">
        <f>AND(#REF!,"AAAAAH96q4g=")</f>
        <v>#REF!</v>
      </c>
      <c r="EH108" t="e">
        <f>AND(#REF!,"AAAAAH96q4k=")</f>
        <v>#REF!</v>
      </c>
      <c r="EI108" t="e">
        <f>AND(#REF!,"AAAAAH96q4o=")</f>
        <v>#REF!</v>
      </c>
      <c r="EJ108" t="e">
        <f>AND(#REF!,"AAAAAH96q4s=")</f>
        <v>#REF!</v>
      </c>
      <c r="EK108" t="e">
        <f>AND(#REF!,"AAAAAH96q4w=")</f>
        <v>#REF!</v>
      </c>
      <c r="EL108" t="e">
        <f>IF(#REF!,"AAAAAH96q40=",0)</f>
        <v>#REF!</v>
      </c>
      <c r="EM108" t="e">
        <f>AND(#REF!,"AAAAAH96q44=")</f>
        <v>#REF!</v>
      </c>
      <c r="EN108" t="e">
        <f>AND(#REF!,"AAAAAH96q48=")</f>
        <v>#REF!</v>
      </c>
      <c r="EO108" t="e">
        <f>AND(#REF!,"AAAAAH96q5A=")</f>
        <v>#REF!</v>
      </c>
      <c r="EP108" t="e">
        <f>AND(#REF!,"AAAAAH96q5E=")</f>
        <v>#REF!</v>
      </c>
      <c r="EQ108" t="e">
        <f>AND(#REF!,"AAAAAH96q5I=")</f>
        <v>#REF!</v>
      </c>
      <c r="ER108" t="e">
        <f>AND(#REF!,"AAAAAH96q5M=")</f>
        <v>#REF!</v>
      </c>
      <c r="ES108" t="e">
        <f>IF(#REF!,"AAAAAH96q5Q=",0)</f>
        <v>#REF!</v>
      </c>
      <c r="ET108" t="e">
        <f>AND(#REF!,"AAAAAH96q5U=")</f>
        <v>#REF!</v>
      </c>
      <c r="EU108" t="e">
        <f>AND(#REF!,"AAAAAH96q5Y=")</f>
        <v>#REF!</v>
      </c>
      <c r="EV108" t="e">
        <f>AND(#REF!,"AAAAAH96q5c=")</f>
        <v>#REF!</v>
      </c>
      <c r="EW108" t="e">
        <f>AND(#REF!,"AAAAAH96q5g=")</f>
        <v>#REF!</v>
      </c>
      <c r="EX108" t="e">
        <f>AND(#REF!,"AAAAAH96q5k=")</f>
        <v>#REF!</v>
      </c>
      <c r="EY108" t="e">
        <f>AND(#REF!,"AAAAAH96q5o=")</f>
        <v>#REF!</v>
      </c>
      <c r="EZ108" t="e">
        <f>IF(#REF!,"AAAAAH96q5s=",0)</f>
        <v>#REF!</v>
      </c>
      <c r="FA108" t="e">
        <f>AND(#REF!,"AAAAAH96q5w=")</f>
        <v>#REF!</v>
      </c>
      <c r="FB108" t="e">
        <f>AND(#REF!,"AAAAAH96q50=")</f>
        <v>#REF!</v>
      </c>
      <c r="FC108" t="e">
        <f>AND(#REF!,"AAAAAH96q54=")</f>
        <v>#REF!</v>
      </c>
      <c r="FD108" t="e">
        <f>AND(#REF!,"AAAAAH96q58=")</f>
        <v>#REF!</v>
      </c>
      <c r="FE108" t="e">
        <f>AND(#REF!,"AAAAAH96q6A=")</f>
        <v>#REF!</v>
      </c>
      <c r="FF108" t="e">
        <f>AND(#REF!,"AAAAAH96q6E=")</f>
        <v>#REF!</v>
      </c>
      <c r="FG108" t="e">
        <f>IF(#REF!,"AAAAAH96q6I=",0)</f>
        <v>#REF!</v>
      </c>
      <c r="FH108" t="e">
        <f>AND(#REF!,"AAAAAH96q6M=")</f>
        <v>#REF!</v>
      </c>
      <c r="FI108" t="e">
        <f>AND(#REF!,"AAAAAH96q6Q=")</f>
        <v>#REF!</v>
      </c>
      <c r="FJ108" t="e">
        <f>AND(#REF!,"AAAAAH96q6U=")</f>
        <v>#REF!</v>
      </c>
      <c r="FK108" t="e">
        <f>AND(#REF!,"AAAAAH96q6Y=")</f>
        <v>#REF!</v>
      </c>
      <c r="FL108" t="e">
        <f>AND(#REF!,"AAAAAH96q6c=")</f>
        <v>#REF!</v>
      </c>
      <c r="FM108" t="e">
        <f>AND(#REF!,"AAAAAH96q6g=")</f>
        <v>#REF!</v>
      </c>
      <c r="FN108" t="e">
        <f>IF(#REF!,"AAAAAH96q6k=",0)</f>
        <v>#REF!</v>
      </c>
      <c r="FO108" t="e">
        <f>AND(#REF!,"AAAAAH96q6o=")</f>
        <v>#REF!</v>
      </c>
      <c r="FP108" t="e">
        <f>AND(#REF!,"AAAAAH96q6s=")</f>
        <v>#REF!</v>
      </c>
      <c r="FQ108" t="e">
        <f>AND(#REF!,"AAAAAH96q6w=")</f>
        <v>#REF!</v>
      </c>
      <c r="FR108" t="e">
        <f>AND(#REF!,"AAAAAH96q60=")</f>
        <v>#REF!</v>
      </c>
      <c r="FS108" t="e">
        <f>AND(#REF!,"AAAAAH96q64=")</f>
        <v>#REF!</v>
      </c>
      <c r="FT108" t="e">
        <f>AND(#REF!,"AAAAAH96q68=")</f>
        <v>#REF!</v>
      </c>
      <c r="FU108" t="e">
        <f>IF(#REF!,"AAAAAH96q7A=",0)</f>
        <v>#REF!</v>
      </c>
      <c r="FV108" t="e">
        <f>AND(#REF!,"AAAAAH96q7E=")</f>
        <v>#REF!</v>
      </c>
      <c r="FW108" t="e">
        <f>AND(#REF!,"AAAAAH96q7I=")</f>
        <v>#REF!</v>
      </c>
      <c r="FX108" t="e">
        <f>AND(#REF!,"AAAAAH96q7M=")</f>
        <v>#REF!</v>
      </c>
      <c r="FY108" t="e">
        <f>AND(#REF!,"AAAAAH96q7Q=")</f>
        <v>#REF!</v>
      </c>
      <c r="FZ108" t="e">
        <f>AND(#REF!,"AAAAAH96q7U=")</f>
        <v>#REF!</v>
      </c>
      <c r="GA108" t="e">
        <f>AND(#REF!,"AAAAAH96q7Y=")</f>
        <v>#REF!</v>
      </c>
      <c r="GB108" t="e">
        <f>IF(#REF!,"AAAAAH96q7c=",0)</f>
        <v>#REF!</v>
      </c>
      <c r="GC108" t="e">
        <f>AND(#REF!,"AAAAAH96q7g=")</f>
        <v>#REF!</v>
      </c>
      <c r="GD108" t="e">
        <f>AND(#REF!,"AAAAAH96q7k=")</f>
        <v>#REF!</v>
      </c>
      <c r="GE108" t="e">
        <f>AND(#REF!,"AAAAAH96q7o=")</f>
        <v>#REF!</v>
      </c>
      <c r="GF108" t="e">
        <f>AND(#REF!,"AAAAAH96q7s=")</f>
        <v>#REF!</v>
      </c>
      <c r="GG108" t="e">
        <f>AND(#REF!,"AAAAAH96q7w=")</f>
        <v>#REF!</v>
      </c>
      <c r="GH108" t="e">
        <f>AND(#REF!,"AAAAAH96q70=")</f>
        <v>#REF!</v>
      </c>
      <c r="GI108" t="e">
        <f>IF(#REF!,"AAAAAH96q74=",0)</f>
        <v>#REF!</v>
      </c>
      <c r="GJ108" t="e">
        <f>AND(#REF!,"AAAAAH96q78=")</f>
        <v>#REF!</v>
      </c>
      <c r="GK108" t="e">
        <f>AND(#REF!,"AAAAAH96q8A=")</f>
        <v>#REF!</v>
      </c>
      <c r="GL108" t="e">
        <f>AND(#REF!,"AAAAAH96q8E=")</f>
        <v>#REF!</v>
      </c>
      <c r="GM108" t="e">
        <f>AND(#REF!,"AAAAAH96q8I=")</f>
        <v>#REF!</v>
      </c>
      <c r="GN108" t="e">
        <f>AND(#REF!,"AAAAAH96q8M=")</f>
        <v>#REF!</v>
      </c>
      <c r="GO108" t="e">
        <f>AND(#REF!,"AAAAAH96q8Q=")</f>
        <v>#REF!</v>
      </c>
      <c r="GP108" t="e">
        <f>IF(#REF!,"AAAAAH96q8U=",0)</f>
        <v>#REF!</v>
      </c>
      <c r="GQ108" t="e">
        <f>AND(#REF!,"AAAAAH96q8Y=")</f>
        <v>#REF!</v>
      </c>
      <c r="GR108" t="e">
        <f>AND(#REF!,"AAAAAH96q8c=")</f>
        <v>#REF!</v>
      </c>
      <c r="GS108" t="e">
        <f>AND(#REF!,"AAAAAH96q8g=")</f>
        <v>#REF!</v>
      </c>
      <c r="GT108" t="e">
        <f>AND(#REF!,"AAAAAH96q8k=")</f>
        <v>#REF!</v>
      </c>
      <c r="GU108" t="e">
        <f>AND(#REF!,"AAAAAH96q8o=")</f>
        <v>#REF!</v>
      </c>
      <c r="GV108" t="e">
        <f>AND(#REF!,"AAAAAH96q8s=")</f>
        <v>#REF!</v>
      </c>
      <c r="GW108" t="e">
        <f>IF(#REF!,"AAAAAH96q8w=",0)</f>
        <v>#REF!</v>
      </c>
      <c r="GX108" t="e">
        <f>AND(#REF!,"AAAAAH96q80=")</f>
        <v>#REF!</v>
      </c>
      <c r="GY108" t="e">
        <f>AND(#REF!,"AAAAAH96q84=")</f>
        <v>#REF!</v>
      </c>
      <c r="GZ108" t="e">
        <f>AND(#REF!,"AAAAAH96q88=")</f>
        <v>#REF!</v>
      </c>
      <c r="HA108" t="e">
        <f>AND(#REF!,"AAAAAH96q9A=")</f>
        <v>#REF!</v>
      </c>
      <c r="HB108" t="e">
        <f>AND(#REF!,"AAAAAH96q9E=")</f>
        <v>#REF!</v>
      </c>
      <c r="HC108" t="e">
        <f>AND(#REF!,"AAAAAH96q9I=")</f>
        <v>#REF!</v>
      </c>
      <c r="HD108" t="e">
        <f>IF(#REF!,"AAAAAH96q9M=",0)</f>
        <v>#REF!</v>
      </c>
      <c r="HE108" t="e">
        <f>AND(#REF!,"AAAAAH96q9Q=")</f>
        <v>#REF!</v>
      </c>
      <c r="HF108" t="e">
        <f>AND(#REF!,"AAAAAH96q9U=")</f>
        <v>#REF!</v>
      </c>
      <c r="HG108" t="e">
        <f>AND(#REF!,"AAAAAH96q9Y=")</f>
        <v>#REF!</v>
      </c>
      <c r="HH108" t="e">
        <f>AND(#REF!,"AAAAAH96q9c=")</f>
        <v>#REF!</v>
      </c>
      <c r="HI108" t="e">
        <f>AND(#REF!,"AAAAAH96q9g=")</f>
        <v>#REF!</v>
      </c>
      <c r="HJ108" t="e">
        <f>AND(#REF!,"AAAAAH96q9k=")</f>
        <v>#REF!</v>
      </c>
      <c r="HK108" t="e">
        <f>IF(#REF!,"AAAAAH96q9o=",0)</f>
        <v>#REF!</v>
      </c>
      <c r="HL108" t="e">
        <f>AND(#REF!,"AAAAAH96q9s=")</f>
        <v>#REF!</v>
      </c>
      <c r="HM108" t="e">
        <f>AND(#REF!,"AAAAAH96q9w=")</f>
        <v>#REF!</v>
      </c>
      <c r="HN108" t="e">
        <f>AND(#REF!,"AAAAAH96q90=")</f>
        <v>#REF!</v>
      </c>
      <c r="HO108" t="e">
        <f>AND(#REF!,"AAAAAH96q94=")</f>
        <v>#REF!</v>
      </c>
      <c r="HP108" t="e">
        <f>AND(#REF!,"AAAAAH96q98=")</f>
        <v>#REF!</v>
      </c>
      <c r="HQ108" t="e">
        <f>AND(#REF!,"AAAAAH96q+A=")</f>
        <v>#REF!</v>
      </c>
      <c r="HR108" t="e">
        <f>IF(#REF!,"AAAAAH96q+E=",0)</f>
        <v>#REF!</v>
      </c>
      <c r="HS108" t="e">
        <f>AND(#REF!,"AAAAAH96q+I=")</f>
        <v>#REF!</v>
      </c>
      <c r="HT108" t="e">
        <f>AND(#REF!,"AAAAAH96q+M=")</f>
        <v>#REF!</v>
      </c>
      <c r="HU108" t="e">
        <f>AND(#REF!,"AAAAAH96q+Q=")</f>
        <v>#REF!</v>
      </c>
      <c r="HV108" t="e">
        <f>AND(#REF!,"AAAAAH96q+U=")</f>
        <v>#REF!</v>
      </c>
      <c r="HW108" t="e">
        <f>AND(#REF!,"AAAAAH96q+Y=")</f>
        <v>#REF!</v>
      </c>
      <c r="HX108" t="e">
        <f>AND(#REF!,"AAAAAH96q+c=")</f>
        <v>#REF!</v>
      </c>
      <c r="HY108" t="e">
        <f>IF(#REF!,"AAAAAH96q+g=",0)</f>
        <v>#REF!</v>
      </c>
      <c r="HZ108" t="e">
        <f>AND(#REF!,"AAAAAH96q+k=")</f>
        <v>#REF!</v>
      </c>
      <c r="IA108" t="e">
        <f>AND(#REF!,"AAAAAH96q+o=")</f>
        <v>#REF!</v>
      </c>
      <c r="IB108" t="e">
        <f>AND(#REF!,"AAAAAH96q+s=")</f>
        <v>#REF!</v>
      </c>
      <c r="IC108" t="e">
        <f>AND(#REF!,"AAAAAH96q+w=")</f>
        <v>#REF!</v>
      </c>
      <c r="ID108" t="e">
        <f>AND(#REF!,"AAAAAH96q+0=")</f>
        <v>#REF!</v>
      </c>
      <c r="IE108" t="e">
        <f>AND(#REF!,"AAAAAH96q+4=")</f>
        <v>#REF!</v>
      </c>
      <c r="IF108" t="e">
        <f>IF(#REF!,"AAAAAH96q+8=",0)</f>
        <v>#REF!</v>
      </c>
      <c r="IG108" t="e">
        <f>AND(#REF!,"AAAAAH96q/A=")</f>
        <v>#REF!</v>
      </c>
      <c r="IH108" t="e">
        <f>AND(#REF!,"AAAAAH96q/E=")</f>
        <v>#REF!</v>
      </c>
      <c r="II108" t="e">
        <f>AND(#REF!,"AAAAAH96q/I=")</f>
        <v>#REF!</v>
      </c>
      <c r="IJ108" t="e">
        <f>AND(#REF!,"AAAAAH96q/M=")</f>
        <v>#REF!</v>
      </c>
      <c r="IK108" t="e">
        <f>AND(#REF!,"AAAAAH96q/Q=")</f>
        <v>#REF!</v>
      </c>
      <c r="IL108" t="e">
        <f>AND(#REF!,"AAAAAH96q/U=")</f>
        <v>#REF!</v>
      </c>
      <c r="IM108" t="e">
        <f>IF(#REF!,"AAAAAH96q/Y=",0)</f>
        <v>#REF!</v>
      </c>
      <c r="IN108" t="e">
        <f>AND(#REF!,"AAAAAH96q/c=")</f>
        <v>#REF!</v>
      </c>
      <c r="IO108" t="e">
        <f>AND(#REF!,"AAAAAH96q/g=")</f>
        <v>#REF!</v>
      </c>
      <c r="IP108" t="e">
        <f>AND(#REF!,"AAAAAH96q/k=")</f>
        <v>#REF!</v>
      </c>
      <c r="IQ108" t="e">
        <f>AND(#REF!,"AAAAAH96q/o=")</f>
        <v>#REF!</v>
      </c>
      <c r="IR108" t="e">
        <f>AND(#REF!,"AAAAAH96q/s=")</f>
        <v>#REF!</v>
      </c>
      <c r="IS108" t="e">
        <f>AND(#REF!,"AAAAAH96q/w=")</f>
        <v>#REF!</v>
      </c>
      <c r="IT108" t="e">
        <f>IF(#REF!,"AAAAAH96q/0=",0)</f>
        <v>#REF!</v>
      </c>
      <c r="IU108" t="e">
        <f>AND(#REF!,"AAAAAH96q/4=")</f>
        <v>#REF!</v>
      </c>
      <c r="IV108" t="e">
        <f>AND(#REF!,"AAAAAH96q/8=")</f>
        <v>#REF!</v>
      </c>
    </row>
    <row r="109" spans="1:256" x14ac:dyDescent="0.15">
      <c r="A109" t="e">
        <f>AND(#REF!,"AAAAAF+1qwA=")</f>
        <v>#REF!</v>
      </c>
      <c r="B109" t="e">
        <f>AND(#REF!,"AAAAAF+1qwE=")</f>
        <v>#REF!</v>
      </c>
      <c r="C109" t="e">
        <f>AND(#REF!,"AAAAAF+1qwI=")</f>
        <v>#REF!</v>
      </c>
      <c r="D109" t="e">
        <f>AND(#REF!,"AAAAAF+1qwM=")</f>
        <v>#REF!</v>
      </c>
      <c r="E109" t="e">
        <f>IF(#REF!,"AAAAAF+1qwQ=",0)</f>
        <v>#REF!</v>
      </c>
      <c r="F109" t="e">
        <f>AND(#REF!,"AAAAAF+1qwU=")</f>
        <v>#REF!</v>
      </c>
      <c r="G109" t="e">
        <f>AND(#REF!,"AAAAAF+1qwY=")</f>
        <v>#REF!</v>
      </c>
      <c r="H109" t="e">
        <f>AND(#REF!,"AAAAAF+1qwc=")</f>
        <v>#REF!</v>
      </c>
      <c r="I109" t="e">
        <f>AND(#REF!,"AAAAAF+1qwg=")</f>
        <v>#REF!</v>
      </c>
      <c r="J109" t="e">
        <f>AND(#REF!,"AAAAAF+1qwk=")</f>
        <v>#REF!</v>
      </c>
      <c r="K109" t="e">
        <f>AND(#REF!,"AAAAAF+1qwo=")</f>
        <v>#REF!</v>
      </c>
      <c r="L109" t="e">
        <f>IF(#REF!,"AAAAAF+1qws=",0)</f>
        <v>#REF!</v>
      </c>
      <c r="M109" t="e">
        <f>AND(#REF!,"AAAAAF+1qww=")</f>
        <v>#REF!</v>
      </c>
      <c r="N109" t="e">
        <f>AND(#REF!,"AAAAAF+1qw0=")</f>
        <v>#REF!</v>
      </c>
      <c r="O109" t="e">
        <f>AND(#REF!,"AAAAAF+1qw4=")</f>
        <v>#REF!</v>
      </c>
      <c r="P109" t="e">
        <f>AND(#REF!,"AAAAAF+1qw8=")</f>
        <v>#REF!</v>
      </c>
      <c r="Q109" t="e">
        <f>AND(#REF!,"AAAAAF+1qxA=")</f>
        <v>#REF!</v>
      </c>
      <c r="R109" t="e">
        <f>AND(#REF!,"AAAAAF+1qxE=")</f>
        <v>#REF!</v>
      </c>
      <c r="S109" t="e">
        <f>IF(#REF!,"AAAAAF+1qxI=",0)</f>
        <v>#REF!</v>
      </c>
      <c r="T109" t="e">
        <f>AND(#REF!,"AAAAAF+1qxM=")</f>
        <v>#REF!</v>
      </c>
      <c r="U109" t="e">
        <f>AND(#REF!,"AAAAAF+1qxQ=")</f>
        <v>#REF!</v>
      </c>
      <c r="V109" t="e">
        <f>AND(#REF!,"AAAAAF+1qxU=")</f>
        <v>#REF!</v>
      </c>
      <c r="W109" t="e">
        <f>AND(#REF!,"AAAAAF+1qxY=")</f>
        <v>#REF!</v>
      </c>
      <c r="X109" t="e">
        <f>AND(#REF!,"AAAAAF+1qxc=")</f>
        <v>#REF!</v>
      </c>
      <c r="Y109" t="e">
        <f>AND(#REF!,"AAAAAF+1qxg=")</f>
        <v>#REF!</v>
      </c>
      <c r="Z109" t="e">
        <f>IF(#REF!,"AAAAAF+1qxk=",0)</f>
        <v>#REF!</v>
      </c>
      <c r="AA109" t="e">
        <f>AND(#REF!,"AAAAAF+1qxo=")</f>
        <v>#REF!</v>
      </c>
      <c r="AB109" t="e">
        <f>AND(#REF!,"AAAAAF+1qxs=")</f>
        <v>#REF!</v>
      </c>
      <c r="AC109" t="e">
        <f>AND(#REF!,"AAAAAF+1qxw=")</f>
        <v>#REF!</v>
      </c>
      <c r="AD109" t="e">
        <f>AND(#REF!,"AAAAAF+1qx0=")</f>
        <v>#REF!</v>
      </c>
      <c r="AE109" t="e">
        <f>AND(#REF!,"AAAAAF+1qx4=")</f>
        <v>#REF!</v>
      </c>
      <c r="AF109" t="e">
        <f>AND(#REF!,"AAAAAF+1qx8=")</f>
        <v>#REF!</v>
      </c>
      <c r="AG109" t="e">
        <f>IF(#REF!,"AAAAAF+1qyA=",0)</f>
        <v>#REF!</v>
      </c>
      <c r="AH109" t="e">
        <f>AND(#REF!,"AAAAAF+1qyE=")</f>
        <v>#REF!</v>
      </c>
      <c r="AI109" t="e">
        <f>AND(#REF!,"AAAAAF+1qyI=")</f>
        <v>#REF!</v>
      </c>
      <c r="AJ109" t="e">
        <f>AND(#REF!,"AAAAAF+1qyM=")</f>
        <v>#REF!</v>
      </c>
      <c r="AK109" t="e">
        <f>AND(#REF!,"AAAAAF+1qyQ=")</f>
        <v>#REF!</v>
      </c>
      <c r="AL109" t="e">
        <f>AND(#REF!,"AAAAAF+1qyU=")</f>
        <v>#REF!</v>
      </c>
      <c r="AM109" t="e">
        <f>AND(#REF!,"AAAAAF+1qyY=")</f>
        <v>#REF!</v>
      </c>
      <c r="AN109" t="e">
        <f>IF(#REF!,"AAAAAF+1qyc=",0)</f>
        <v>#REF!</v>
      </c>
      <c r="AO109" t="e">
        <f>AND(#REF!,"AAAAAF+1qyg=")</f>
        <v>#REF!</v>
      </c>
      <c r="AP109" t="e">
        <f>AND(#REF!,"AAAAAF+1qyk=")</f>
        <v>#REF!</v>
      </c>
      <c r="AQ109" t="e">
        <f>AND(#REF!,"AAAAAF+1qyo=")</f>
        <v>#REF!</v>
      </c>
      <c r="AR109" t="e">
        <f>AND(#REF!,"AAAAAF+1qys=")</f>
        <v>#REF!</v>
      </c>
      <c r="AS109" t="e">
        <f>AND(#REF!,"AAAAAF+1qyw=")</f>
        <v>#REF!</v>
      </c>
      <c r="AT109" t="e">
        <f>AND(#REF!,"AAAAAF+1qy0=")</f>
        <v>#REF!</v>
      </c>
      <c r="AU109" t="e">
        <f>IF(#REF!,"AAAAAF+1qy4=",0)</f>
        <v>#REF!</v>
      </c>
      <c r="AV109" t="e">
        <f>AND(#REF!,"AAAAAF+1qy8=")</f>
        <v>#REF!</v>
      </c>
      <c r="AW109" t="e">
        <f>AND(#REF!,"AAAAAF+1qzA=")</f>
        <v>#REF!</v>
      </c>
      <c r="AX109" t="e">
        <f>AND(#REF!,"AAAAAF+1qzE=")</f>
        <v>#REF!</v>
      </c>
      <c r="AY109" t="e">
        <f>AND(#REF!,"AAAAAF+1qzI=")</f>
        <v>#REF!</v>
      </c>
      <c r="AZ109" t="e">
        <f>AND(#REF!,"AAAAAF+1qzM=")</f>
        <v>#REF!</v>
      </c>
      <c r="BA109" t="e">
        <f>AND(#REF!,"AAAAAF+1qzQ=")</f>
        <v>#REF!</v>
      </c>
      <c r="BB109" t="e">
        <f>IF(#REF!,"AAAAAF+1qzU=",0)</f>
        <v>#REF!</v>
      </c>
      <c r="BC109" t="e">
        <f>AND(#REF!,"AAAAAF+1qzY=")</f>
        <v>#REF!</v>
      </c>
      <c r="BD109" t="e">
        <f>AND(#REF!,"AAAAAF+1qzc=")</f>
        <v>#REF!</v>
      </c>
      <c r="BE109" t="e">
        <f>AND(#REF!,"AAAAAF+1qzg=")</f>
        <v>#REF!</v>
      </c>
      <c r="BF109" t="e">
        <f>AND(#REF!,"AAAAAF+1qzk=")</f>
        <v>#REF!</v>
      </c>
      <c r="BG109" t="e">
        <f>AND(#REF!,"AAAAAF+1qzo=")</f>
        <v>#REF!</v>
      </c>
      <c r="BH109" t="e">
        <f>AND(#REF!,"AAAAAF+1qzs=")</f>
        <v>#REF!</v>
      </c>
      <c r="BI109" t="e">
        <f>IF(#REF!,"AAAAAF+1qzw=",0)</f>
        <v>#REF!</v>
      </c>
      <c r="BJ109" t="e">
        <f>AND(#REF!,"AAAAAF+1qz0=")</f>
        <v>#REF!</v>
      </c>
      <c r="BK109" t="e">
        <f>AND(#REF!,"AAAAAF+1qz4=")</f>
        <v>#REF!</v>
      </c>
      <c r="BL109" t="e">
        <f>AND(#REF!,"AAAAAF+1qz8=")</f>
        <v>#REF!</v>
      </c>
      <c r="BM109" t="e">
        <f>AND(#REF!,"AAAAAF+1q0A=")</f>
        <v>#REF!</v>
      </c>
      <c r="BN109" t="e">
        <f>AND(#REF!,"AAAAAF+1q0E=")</f>
        <v>#REF!</v>
      </c>
      <c r="BO109" t="e">
        <f>AND(#REF!,"AAAAAF+1q0I=")</f>
        <v>#REF!</v>
      </c>
      <c r="BP109" t="e">
        <f>IF(#REF!,"AAAAAF+1q0M=",0)</f>
        <v>#REF!</v>
      </c>
      <c r="BQ109" t="e">
        <f>AND(#REF!,"AAAAAF+1q0Q=")</f>
        <v>#REF!</v>
      </c>
      <c r="BR109" t="e">
        <f>AND(#REF!,"AAAAAF+1q0U=")</f>
        <v>#REF!</v>
      </c>
      <c r="BS109" t="e">
        <f>AND(#REF!,"AAAAAF+1q0Y=")</f>
        <v>#REF!</v>
      </c>
      <c r="BT109" t="e">
        <f>AND(#REF!,"AAAAAF+1q0c=")</f>
        <v>#REF!</v>
      </c>
      <c r="BU109" t="e">
        <f>AND(#REF!,"AAAAAF+1q0g=")</f>
        <v>#REF!</v>
      </c>
      <c r="BV109" t="e">
        <f>AND(#REF!,"AAAAAF+1q0k=")</f>
        <v>#REF!</v>
      </c>
      <c r="BW109" t="e">
        <f>IF(#REF!,"AAAAAF+1q0o=",0)</f>
        <v>#REF!</v>
      </c>
      <c r="BX109" t="e">
        <f>AND(#REF!,"AAAAAF+1q0s=")</f>
        <v>#REF!</v>
      </c>
      <c r="BY109" t="e">
        <f>AND(#REF!,"AAAAAF+1q0w=")</f>
        <v>#REF!</v>
      </c>
      <c r="BZ109" t="e">
        <f>AND(#REF!,"AAAAAF+1q00=")</f>
        <v>#REF!</v>
      </c>
      <c r="CA109" t="e">
        <f>AND(#REF!,"AAAAAF+1q04=")</f>
        <v>#REF!</v>
      </c>
      <c r="CB109" t="e">
        <f>AND(#REF!,"AAAAAF+1q08=")</f>
        <v>#REF!</v>
      </c>
      <c r="CC109" t="e">
        <f>AND(#REF!,"AAAAAF+1q1A=")</f>
        <v>#REF!</v>
      </c>
      <c r="CD109" t="e">
        <f>IF(#REF!,"AAAAAF+1q1E=",0)</f>
        <v>#REF!</v>
      </c>
      <c r="CE109" t="e">
        <f>AND(#REF!,"AAAAAF+1q1I=")</f>
        <v>#REF!</v>
      </c>
      <c r="CF109" t="e">
        <f>AND(#REF!,"AAAAAF+1q1M=")</f>
        <v>#REF!</v>
      </c>
      <c r="CG109" t="e">
        <f>AND(#REF!,"AAAAAF+1q1Q=")</f>
        <v>#REF!</v>
      </c>
      <c r="CH109" t="e">
        <f>AND(#REF!,"AAAAAF+1q1U=")</f>
        <v>#REF!</v>
      </c>
      <c r="CI109" t="e">
        <f>AND(#REF!,"AAAAAF+1q1Y=")</f>
        <v>#REF!</v>
      </c>
      <c r="CJ109" t="e">
        <f>AND(#REF!,"AAAAAF+1q1c=")</f>
        <v>#REF!</v>
      </c>
      <c r="CK109" t="e">
        <f>IF(#REF!,"AAAAAF+1q1g=",0)</f>
        <v>#REF!</v>
      </c>
      <c r="CL109" t="e">
        <f>AND(#REF!,"AAAAAF+1q1k=")</f>
        <v>#REF!</v>
      </c>
      <c r="CM109" t="e">
        <f>AND(#REF!,"AAAAAF+1q1o=")</f>
        <v>#REF!</v>
      </c>
      <c r="CN109" t="e">
        <f>AND(#REF!,"AAAAAF+1q1s=")</f>
        <v>#REF!</v>
      </c>
      <c r="CO109" t="e">
        <f>AND(#REF!,"AAAAAF+1q1w=")</f>
        <v>#REF!</v>
      </c>
      <c r="CP109" t="e">
        <f>AND(#REF!,"AAAAAF+1q10=")</f>
        <v>#REF!</v>
      </c>
      <c r="CQ109" t="e">
        <f>AND(#REF!,"AAAAAF+1q14=")</f>
        <v>#REF!</v>
      </c>
      <c r="CR109" t="e">
        <f>IF(#REF!,"AAAAAF+1q18=",0)</f>
        <v>#REF!</v>
      </c>
      <c r="CS109" t="e">
        <f>AND(#REF!,"AAAAAF+1q2A=")</f>
        <v>#REF!</v>
      </c>
      <c r="CT109" t="e">
        <f>AND(#REF!,"AAAAAF+1q2E=")</f>
        <v>#REF!</v>
      </c>
      <c r="CU109" t="e">
        <f>AND(#REF!,"AAAAAF+1q2I=")</f>
        <v>#REF!</v>
      </c>
      <c r="CV109" t="e">
        <f>AND(#REF!,"AAAAAF+1q2M=")</f>
        <v>#REF!</v>
      </c>
      <c r="CW109" t="e">
        <f>AND(#REF!,"AAAAAF+1q2Q=")</f>
        <v>#REF!</v>
      </c>
      <c r="CX109" t="e">
        <f>AND(#REF!,"AAAAAF+1q2U=")</f>
        <v>#REF!</v>
      </c>
      <c r="CY109" t="e">
        <f>IF(#REF!,"AAAAAF+1q2Y=",0)</f>
        <v>#REF!</v>
      </c>
      <c r="CZ109" t="e">
        <f>AND(#REF!,"AAAAAF+1q2c=")</f>
        <v>#REF!</v>
      </c>
      <c r="DA109" t="e">
        <f>AND(#REF!,"AAAAAF+1q2g=")</f>
        <v>#REF!</v>
      </c>
      <c r="DB109" t="e">
        <f>AND(#REF!,"AAAAAF+1q2k=")</f>
        <v>#REF!</v>
      </c>
      <c r="DC109" t="e">
        <f>AND(#REF!,"AAAAAF+1q2o=")</f>
        <v>#REF!</v>
      </c>
      <c r="DD109" t="e">
        <f>AND(#REF!,"AAAAAF+1q2s=")</f>
        <v>#REF!</v>
      </c>
      <c r="DE109" t="e">
        <f>AND(#REF!,"AAAAAF+1q2w=")</f>
        <v>#REF!</v>
      </c>
      <c r="DF109" t="e">
        <f>IF(#REF!,"AAAAAF+1q20=",0)</f>
        <v>#REF!</v>
      </c>
      <c r="DG109" t="e">
        <f>AND(#REF!,"AAAAAF+1q24=")</f>
        <v>#REF!</v>
      </c>
      <c r="DH109" t="e">
        <f>AND(#REF!,"AAAAAF+1q28=")</f>
        <v>#REF!</v>
      </c>
      <c r="DI109" t="e">
        <f>AND(#REF!,"AAAAAF+1q3A=")</f>
        <v>#REF!</v>
      </c>
      <c r="DJ109" t="e">
        <f>AND(#REF!,"AAAAAF+1q3E=")</f>
        <v>#REF!</v>
      </c>
      <c r="DK109" t="e">
        <f>AND(#REF!,"AAAAAF+1q3I=")</f>
        <v>#REF!</v>
      </c>
      <c r="DL109" t="e">
        <f>AND(#REF!,"AAAAAF+1q3M=")</f>
        <v>#REF!</v>
      </c>
      <c r="DM109" t="e">
        <f>IF(#REF!,"AAAAAF+1q3Q=",0)</f>
        <v>#REF!</v>
      </c>
      <c r="DN109" t="e">
        <f>AND(#REF!,"AAAAAF+1q3U=")</f>
        <v>#REF!</v>
      </c>
      <c r="DO109" t="e">
        <f>AND(#REF!,"AAAAAF+1q3Y=")</f>
        <v>#REF!</v>
      </c>
      <c r="DP109" t="e">
        <f>AND(#REF!,"AAAAAF+1q3c=")</f>
        <v>#REF!</v>
      </c>
      <c r="DQ109" t="e">
        <f>AND(#REF!,"AAAAAF+1q3g=")</f>
        <v>#REF!</v>
      </c>
      <c r="DR109" t="e">
        <f>AND(#REF!,"AAAAAF+1q3k=")</f>
        <v>#REF!</v>
      </c>
      <c r="DS109" t="e">
        <f>AND(#REF!,"AAAAAF+1q3o=")</f>
        <v>#REF!</v>
      </c>
      <c r="DT109" t="e">
        <f>IF(#REF!,"AAAAAF+1q3s=",0)</f>
        <v>#REF!</v>
      </c>
      <c r="DU109" t="e">
        <f>AND(#REF!,"AAAAAF+1q3w=")</f>
        <v>#REF!</v>
      </c>
      <c r="DV109" t="e">
        <f>AND(#REF!,"AAAAAF+1q30=")</f>
        <v>#REF!</v>
      </c>
      <c r="DW109" t="e">
        <f>AND(#REF!,"AAAAAF+1q34=")</f>
        <v>#REF!</v>
      </c>
      <c r="DX109" t="e">
        <f>AND(#REF!,"AAAAAF+1q38=")</f>
        <v>#REF!</v>
      </c>
      <c r="DY109" t="e">
        <f>AND(#REF!,"AAAAAF+1q4A=")</f>
        <v>#REF!</v>
      </c>
      <c r="DZ109" t="e">
        <f>AND(#REF!,"AAAAAF+1q4E=")</f>
        <v>#REF!</v>
      </c>
      <c r="EA109" t="e">
        <f>IF(#REF!,"AAAAAF+1q4I=",0)</f>
        <v>#REF!</v>
      </c>
      <c r="EB109" t="e">
        <f>AND(#REF!,"AAAAAF+1q4M=")</f>
        <v>#REF!</v>
      </c>
      <c r="EC109" t="e">
        <f>AND(#REF!,"AAAAAF+1q4Q=")</f>
        <v>#REF!</v>
      </c>
      <c r="ED109" t="e">
        <f>AND(#REF!,"AAAAAF+1q4U=")</f>
        <v>#REF!</v>
      </c>
      <c r="EE109" t="e">
        <f>AND(#REF!,"AAAAAF+1q4Y=")</f>
        <v>#REF!</v>
      </c>
      <c r="EF109" t="e">
        <f>AND(#REF!,"AAAAAF+1q4c=")</f>
        <v>#REF!</v>
      </c>
      <c r="EG109" t="e">
        <f>AND(#REF!,"AAAAAF+1q4g=")</f>
        <v>#REF!</v>
      </c>
      <c r="EH109" t="e">
        <f>IF(#REF!,"AAAAAF+1q4k=",0)</f>
        <v>#REF!</v>
      </c>
      <c r="EI109" t="e">
        <f>AND(#REF!,"AAAAAF+1q4o=")</f>
        <v>#REF!</v>
      </c>
      <c r="EJ109" t="e">
        <f>AND(#REF!,"AAAAAF+1q4s=")</f>
        <v>#REF!</v>
      </c>
      <c r="EK109" t="e">
        <f>AND(#REF!,"AAAAAF+1q4w=")</f>
        <v>#REF!</v>
      </c>
      <c r="EL109" t="e">
        <f>AND(#REF!,"AAAAAF+1q40=")</f>
        <v>#REF!</v>
      </c>
      <c r="EM109" t="e">
        <f>AND(#REF!,"AAAAAF+1q44=")</f>
        <v>#REF!</v>
      </c>
      <c r="EN109" t="e">
        <f>AND(#REF!,"AAAAAF+1q48=")</f>
        <v>#REF!</v>
      </c>
      <c r="EO109" t="e">
        <f>IF(#REF!,"AAAAAF+1q5A=",0)</f>
        <v>#REF!</v>
      </c>
      <c r="EP109" t="e">
        <f>AND(#REF!,"AAAAAF+1q5E=")</f>
        <v>#REF!</v>
      </c>
      <c r="EQ109" t="e">
        <f>AND(#REF!,"AAAAAF+1q5I=")</f>
        <v>#REF!</v>
      </c>
      <c r="ER109" t="e">
        <f>AND(#REF!,"AAAAAF+1q5M=")</f>
        <v>#REF!</v>
      </c>
      <c r="ES109" t="e">
        <f>AND(#REF!,"AAAAAF+1q5Q=")</f>
        <v>#REF!</v>
      </c>
      <c r="ET109" t="e">
        <f>AND(#REF!,"AAAAAF+1q5U=")</f>
        <v>#REF!</v>
      </c>
      <c r="EU109" t="e">
        <f>AND(#REF!,"AAAAAF+1q5Y=")</f>
        <v>#REF!</v>
      </c>
      <c r="EV109" t="e">
        <f>IF(#REF!,"AAAAAF+1q5c=",0)</f>
        <v>#REF!</v>
      </c>
      <c r="EW109" t="e">
        <f>AND(#REF!,"AAAAAF+1q5g=")</f>
        <v>#REF!</v>
      </c>
      <c r="EX109" t="e">
        <f>AND(#REF!,"AAAAAF+1q5k=")</f>
        <v>#REF!</v>
      </c>
      <c r="EY109" t="e">
        <f>AND(#REF!,"AAAAAF+1q5o=")</f>
        <v>#REF!</v>
      </c>
      <c r="EZ109" t="e">
        <f>AND(#REF!,"AAAAAF+1q5s=")</f>
        <v>#REF!</v>
      </c>
      <c r="FA109" t="e">
        <f>AND(#REF!,"AAAAAF+1q5w=")</f>
        <v>#REF!</v>
      </c>
      <c r="FB109" t="e">
        <f>AND(#REF!,"AAAAAF+1q50=")</f>
        <v>#REF!</v>
      </c>
      <c r="FC109" t="e">
        <f>IF(#REF!,"AAAAAF+1q54=",0)</f>
        <v>#REF!</v>
      </c>
      <c r="FD109" t="e">
        <f>AND(#REF!,"AAAAAF+1q58=")</f>
        <v>#REF!</v>
      </c>
      <c r="FE109" t="e">
        <f>AND(#REF!,"AAAAAF+1q6A=")</f>
        <v>#REF!</v>
      </c>
      <c r="FF109" t="e">
        <f>AND(#REF!,"AAAAAF+1q6E=")</f>
        <v>#REF!</v>
      </c>
      <c r="FG109" t="e">
        <f>AND(#REF!,"AAAAAF+1q6I=")</f>
        <v>#REF!</v>
      </c>
      <c r="FH109" t="e">
        <f>AND(#REF!,"AAAAAF+1q6M=")</f>
        <v>#REF!</v>
      </c>
      <c r="FI109" t="e">
        <f>AND(#REF!,"AAAAAF+1q6Q=")</f>
        <v>#REF!</v>
      </c>
      <c r="FJ109" t="e">
        <f>IF(#REF!,"AAAAAF+1q6U=",0)</f>
        <v>#REF!</v>
      </c>
      <c r="FK109" t="e">
        <f>AND(#REF!,"AAAAAF+1q6Y=")</f>
        <v>#REF!</v>
      </c>
      <c r="FL109" t="e">
        <f>AND(#REF!,"AAAAAF+1q6c=")</f>
        <v>#REF!</v>
      </c>
      <c r="FM109" t="e">
        <f>AND(#REF!,"AAAAAF+1q6g=")</f>
        <v>#REF!</v>
      </c>
      <c r="FN109" t="e">
        <f>AND(#REF!,"AAAAAF+1q6k=")</f>
        <v>#REF!</v>
      </c>
      <c r="FO109" t="e">
        <f>AND(#REF!,"AAAAAF+1q6o=")</f>
        <v>#REF!</v>
      </c>
      <c r="FP109" t="e">
        <f>AND(#REF!,"AAAAAF+1q6s=")</f>
        <v>#REF!</v>
      </c>
      <c r="FQ109" t="e">
        <f>IF(#REF!,"AAAAAF+1q6w=",0)</f>
        <v>#REF!</v>
      </c>
      <c r="FR109" t="e">
        <f>AND(#REF!,"AAAAAF+1q60=")</f>
        <v>#REF!</v>
      </c>
      <c r="FS109" t="e">
        <f>AND(#REF!,"AAAAAF+1q64=")</f>
        <v>#REF!</v>
      </c>
      <c r="FT109" t="e">
        <f>AND(#REF!,"AAAAAF+1q68=")</f>
        <v>#REF!</v>
      </c>
      <c r="FU109" t="e">
        <f>AND(#REF!,"AAAAAF+1q7A=")</f>
        <v>#REF!</v>
      </c>
      <c r="FV109" t="e">
        <f>AND(#REF!,"AAAAAF+1q7E=")</f>
        <v>#REF!</v>
      </c>
      <c r="FW109" t="e">
        <f>AND(#REF!,"AAAAAF+1q7I=")</f>
        <v>#REF!</v>
      </c>
      <c r="FX109" t="e">
        <f>IF(#REF!,"AAAAAF+1q7M=",0)</f>
        <v>#REF!</v>
      </c>
      <c r="FY109" t="e">
        <f>AND(#REF!,"AAAAAF+1q7Q=")</f>
        <v>#REF!</v>
      </c>
      <c r="FZ109" t="e">
        <f>AND(#REF!,"AAAAAF+1q7U=")</f>
        <v>#REF!</v>
      </c>
      <c r="GA109" t="e">
        <f>AND(#REF!,"AAAAAF+1q7Y=")</f>
        <v>#REF!</v>
      </c>
      <c r="GB109" t="e">
        <f>AND(#REF!,"AAAAAF+1q7c=")</f>
        <v>#REF!</v>
      </c>
      <c r="GC109" t="e">
        <f>AND(#REF!,"AAAAAF+1q7g=")</f>
        <v>#REF!</v>
      </c>
      <c r="GD109" t="e">
        <f>AND(#REF!,"AAAAAF+1q7k=")</f>
        <v>#REF!</v>
      </c>
      <c r="GE109" t="e">
        <f>IF(#REF!,"AAAAAF+1q7o=",0)</f>
        <v>#REF!</v>
      </c>
      <c r="GF109" t="e">
        <f>AND(#REF!,"AAAAAF+1q7s=")</f>
        <v>#REF!</v>
      </c>
      <c r="GG109" t="e">
        <f>AND(#REF!,"AAAAAF+1q7w=")</f>
        <v>#REF!</v>
      </c>
      <c r="GH109" t="e">
        <f>AND(#REF!,"AAAAAF+1q70=")</f>
        <v>#REF!</v>
      </c>
      <c r="GI109" t="e">
        <f>AND(#REF!,"AAAAAF+1q74=")</f>
        <v>#REF!</v>
      </c>
      <c r="GJ109" t="e">
        <f>AND(#REF!,"AAAAAF+1q78=")</f>
        <v>#REF!</v>
      </c>
      <c r="GK109" t="e">
        <f>AND(#REF!,"AAAAAF+1q8A=")</f>
        <v>#REF!</v>
      </c>
      <c r="GL109" t="e">
        <f>IF(#REF!,"AAAAAF+1q8E=",0)</f>
        <v>#REF!</v>
      </c>
      <c r="GM109" t="e">
        <f>AND(#REF!,"AAAAAF+1q8I=")</f>
        <v>#REF!</v>
      </c>
      <c r="GN109" t="e">
        <f>AND(#REF!,"AAAAAF+1q8M=")</f>
        <v>#REF!</v>
      </c>
      <c r="GO109" t="e">
        <f>AND(#REF!,"AAAAAF+1q8Q=")</f>
        <v>#REF!</v>
      </c>
      <c r="GP109" t="e">
        <f>AND(#REF!,"AAAAAF+1q8U=")</f>
        <v>#REF!</v>
      </c>
      <c r="GQ109" t="e">
        <f>AND(#REF!,"AAAAAF+1q8Y=")</f>
        <v>#REF!</v>
      </c>
      <c r="GR109" t="e">
        <f>AND(#REF!,"AAAAAF+1q8c=")</f>
        <v>#REF!</v>
      </c>
      <c r="GS109" t="e">
        <f>IF(#REF!,"AAAAAF+1q8g=",0)</f>
        <v>#REF!</v>
      </c>
      <c r="GT109" t="e">
        <f>AND(#REF!,"AAAAAF+1q8k=")</f>
        <v>#REF!</v>
      </c>
      <c r="GU109" t="e">
        <f>AND(#REF!,"AAAAAF+1q8o=")</f>
        <v>#REF!</v>
      </c>
      <c r="GV109" t="e">
        <f>AND(#REF!,"AAAAAF+1q8s=")</f>
        <v>#REF!</v>
      </c>
      <c r="GW109" t="e">
        <f>AND(#REF!,"AAAAAF+1q8w=")</f>
        <v>#REF!</v>
      </c>
      <c r="GX109" t="e">
        <f>AND(#REF!,"AAAAAF+1q80=")</f>
        <v>#REF!</v>
      </c>
      <c r="GY109" t="e">
        <f>AND(#REF!,"AAAAAF+1q84=")</f>
        <v>#REF!</v>
      </c>
      <c r="GZ109" t="e">
        <f>IF(#REF!,"AAAAAF+1q88=",0)</f>
        <v>#REF!</v>
      </c>
      <c r="HA109" t="e">
        <f>AND(#REF!,"AAAAAF+1q9A=")</f>
        <v>#REF!</v>
      </c>
      <c r="HB109" t="e">
        <f>AND(#REF!,"AAAAAF+1q9E=")</f>
        <v>#REF!</v>
      </c>
      <c r="HC109" t="e">
        <f>AND(#REF!,"AAAAAF+1q9I=")</f>
        <v>#REF!</v>
      </c>
      <c r="HD109" t="e">
        <f>AND(#REF!,"AAAAAF+1q9M=")</f>
        <v>#REF!</v>
      </c>
      <c r="HE109" t="e">
        <f>AND(#REF!,"AAAAAF+1q9Q=")</f>
        <v>#REF!</v>
      </c>
      <c r="HF109" t="e">
        <f>AND(#REF!,"AAAAAF+1q9U=")</f>
        <v>#REF!</v>
      </c>
      <c r="HG109" t="e">
        <f>IF(#REF!,"AAAAAF+1q9Y=",0)</f>
        <v>#REF!</v>
      </c>
      <c r="HH109" t="e">
        <f>AND(#REF!,"AAAAAF+1q9c=")</f>
        <v>#REF!</v>
      </c>
      <c r="HI109" t="e">
        <f>AND(#REF!,"AAAAAF+1q9g=")</f>
        <v>#REF!</v>
      </c>
      <c r="HJ109" t="e">
        <f>AND(#REF!,"AAAAAF+1q9k=")</f>
        <v>#REF!</v>
      </c>
      <c r="HK109" t="e">
        <f>AND(#REF!,"AAAAAF+1q9o=")</f>
        <v>#REF!</v>
      </c>
      <c r="HL109" t="e">
        <f>AND(#REF!,"AAAAAF+1q9s=")</f>
        <v>#REF!</v>
      </c>
      <c r="HM109" t="e">
        <f>AND(#REF!,"AAAAAF+1q9w=")</f>
        <v>#REF!</v>
      </c>
      <c r="HN109" t="e">
        <f>IF(#REF!,"AAAAAF+1q90=",0)</f>
        <v>#REF!</v>
      </c>
      <c r="HO109" t="e">
        <f>AND(#REF!,"AAAAAF+1q94=")</f>
        <v>#REF!</v>
      </c>
      <c r="HP109" t="e">
        <f>AND(#REF!,"AAAAAF+1q98=")</f>
        <v>#REF!</v>
      </c>
      <c r="HQ109" t="e">
        <f>AND(#REF!,"AAAAAF+1q+A=")</f>
        <v>#REF!</v>
      </c>
      <c r="HR109" t="e">
        <f>AND(#REF!,"AAAAAF+1q+E=")</f>
        <v>#REF!</v>
      </c>
      <c r="HS109" t="e">
        <f>AND(#REF!,"AAAAAF+1q+I=")</f>
        <v>#REF!</v>
      </c>
      <c r="HT109" t="e">
        <f>AND(#REF!,"AAAAAF+1q+M=")</f>
        <v>#REF!</v>
      </c>
      <c r="HU109" t="e">
        <f>IF(#REF!,"AAAAAF+1q+Q=",0)</f>
        <v>#REF!</v>
      </c>
      <c r="HV109" t="e">
        <f>AND(#REF!,"AAAAAF+1q+U=")</f>
        <v>#REF!</v>
      </c>
      <c r="HW109" t="e">
        <f>AND(#REF!,"AAAAAF+1q+Y=")</f>
        <v>#REF!</v>
      </c>
      <c r="HX109" t="e">
        <f>AND(#REF!,"AAAAAF+1q+c=")</f>
        <v>#REF!</v>
      </c>
      <c r="HY109" t="e">
        <f>AND(#REF!,"AAAAAF+1q+g=")</f>
        <v>#REF!</v>
      </c>
      <c r="HZ109" t="e">
        <f>AND(#REF!,"AAAAAF+1q+k=")</f>
        <v>#REF!</v>
      </c>
      <c r="IA109" t="e">
        <f>AND(#REF!,"AAAAAF+1q+o=")</f>
        <v>#REF!</v>
      </c>
      <c r="IB109" t="e">
        <f>IF(#REF!,"AAAAAF+1q+s=",0)</f>
        <v>#REF!</v>
      </c>
      <c r="IC109" t="e">
        <f>AND(#REF!,"AAAAAF+1q+w=")</f>
        <v>#REF!</v>
      </c>
      <c r="ID109" t="e">
        <f>AND(#REF!,"AAAAAF+1q+0=")</f>
        <v>#REF!</v>
      </c>
      <c r="IE109" t="e">
        <f>AND(#REF!,"AAAAAF+1q+4=")</f>
        <v>#REF!</v>
      </c>
      <c r="IF109" t="e">
        <f>AND(#REF!,"AAAAAF+1q+8=")</f>
        <v>#REF!</v>
      </c>
      <c r="IG109" t="e">
        <f>AND(#REF!,"AAAAAF+1q/A=")</f>
        <v>#REF!</v>
      </c>
      <c r="IH109" t="e">
        <f>AND(#REF!,"AAAAAF+1q/E=")</f>
        <v>#REF!</v>
      </c>
      <c r="II109" t="e">
        <f>IF(#REF!,"AAAAAF+1q/I=",0)</f>
        <v>#REF!</v>
      </c>
      <c r="IJ109" t="e">
        <f>AND(#REF!,"AAAAAF+1q/M=")</f>
        <v>#REF!</v>
      </c>
      <c r="IK109" t="e">
        <f>AND(#REF!,"AAAAAF+1q/Q=")</f>
        <v>#REF!</v>
      </c>
      <c r="IL109" t="e">
        <f>AND(#REF!,"AAAAAF+1q/U=")</f>
        <v>#REF!</v>
      </c>
      <c r="IM109" t="e">
        <f>AND(#REF!,"AAAAAF+1q/Y=")</f>
        <v>#REF!</v>
      </c>
      <c r="IN109" t="e">
        <f>AND(#REF!,"AAAAAF+1q/c=")</f>
        <v>#REF!</v>
      </c>
      <c r="IO109" t="e">
        <f>AND(#REF!,"AAAAAF+1q/g=")</f>
        <v>#REF!</v>
      </c>
      <c r="IP109" t="e">
        <f>IF(#REF!,"AAAAAF+1q/k=",0)</f>
        <v>#REF!</v>
      </c>
      <c r="IQ109" t="e">
        <f>AND(#REF!,"AAAAAF+1q/o=")</f>
        <v>#REF!</v>
      </c>
      <c r="IR109" t="e">
        <f>AND(#REF!,"AAAAAF+1q/s=")</f>
        <v>#REF!</v>
      </c>
      <c r="IS109" t="e">
        <f>AND(#REF!,"AAAAAF+1q/w=")</f>
        <v>#REF!</v>
      </c>
      <c r="IT109" t="e">
        <f>AND(#REF!,"AAAAAF+1q/0=")</f>
        <v>#REF!</v>
      </c>
      <c r="IU109" t="e">
        <f>AND(#REF!,"AAAAAF+1q/4=")</f>
        <v>#REF!</v>
      </c>
      <c r="IV109" t="e">
        <f>AND(#REF!,"AAAAAF+1q/8=")</f>
        <v>#REF!</v>
      </c>
    </row>
    <row r="110" spans="1:256" x14ac:dyDescent="0.15">
      <c r="A110" t="e">
        <f>IF(#REF!,"AAAAAH///gA=",0)</f>
        <v>#REF!</v>
      </c>
      <c r="B110" t="e">
        <f>AND(#REF!,"AAAAAH///gE=")</f>
        <v>#REF!</v>
      </c>
      <c r="C110" t="e">
        <f>AND(#REF!,"AAAAAH///gI=")</f>
        <v>#REF!</v>
      </c>
      <c r="D110" t="e">
        <f>AND(#REF!,"AAAAAH///gM=")</f>
        <v>#REF!</v>
      </c>
      <c r="E110" t="e">
        <f>AND(#REF!,"AAAAAH///gQ=")</f>
        <v>#REF!</v>
      </c>
      <c r="F110" t="e">
        <f>AND(#REF!,"AAAAAH///gU=")</f>
        <v>#REF!</v>
      </c>
      <c r="G110" t="e">
        <f>AND(#REF!,"AAAAAH///gY=")</f>
        <v>#REF!</v>
      </c>
      <c r="H110" t="e">
        <f>IF(#REF!,"AAAAAH///gc=",0)</f>
        <v>#REF!</v>
      </c>
      <c r="I110" t="e">
        <f>AND(#REF!,"AAAAAH///gg=")</f>
        <v>#REF!</v>
      </c>
      <c r="J110" t="e">
        <f>AND(#REF!,"AAAAAH///gk=")</f>
        <v>#REF!</v>
      </c>
      <c r="K110" t="e">
        <f>AND(#REF!,"AAAAAH///go=")</f>
        <v>#REF!</v>
      </c>
      <c r="L110" t="e">
        <f>AND(#REF!,"AAAAAH///gs=")</f>
        <v>#REF!</v>
      </c>
      <c r="M110" t="e">
        <f>AND(#REF!,"AAAAAH///gw=")</f>
        <v>#REF!</v>
      </c>
      <c r="N110" t="e">
        <f>AND(#REF!,"AAAAAH///g0=")</f>
        <v>#REF!</v>
      </c>
      <c r="O110" t="e">
        <f>IF(#REF!,"AAAAAH///g4=",0)</f>
        <v>#REF!</v>
      </c>
      <c r="P110" t="e">
        <f>AND(#REF!,"AAAAAH///g8=")</f>
        <v>#REF!</v>
      </c>
      <c r="Q110" t="e">
        <f>AND(#REF!,"AAAAAH///hA=")</f>
        <v>#REF!</v>
      </c>
      <c r="R110" t="e">
        <f>AND(#REF!,"AAAAAH///hE=")</f>
        <v>#REF!</v>
      </c>
      <c r="S110" t="e">
        <f>AND(#REF!,"AAAAAH///hI=")</f>
        <v>#REF!</v>
      </c>
      <c r="T110" t="e">
        <f>AND(#REF!,"AAAAAH///hM=")</f>
        <v>#REF!</v>
      </c>
      <c r="U110" t="e">
        <f>AND(#REF!,"AAAAAH///hQ=")</f>
        <v>#REF!</v>
      </c>
      <c r="V110" t="e">
        <f>IF(#REF!,"AAAAAH///hU=",0)</f>
        <v>#REF!</v>
      </c>
      <c r="W110" t="e">
        <f>AND(#REF!,"AAAAAH///hY=")</f>
        <v>#REF!</v>
      </c>
      <c r="X110" t="e">
        <f>AND(#REF!,"AAAAAH///hc=")</f>
        <v>#REF!</v>
      </c>
      <c r="Y110" t="e">
        <f>AND(#REF!,"AAAAAH///hg=")</f>
        <v>#REF!</v>
      </c>
      <c r="Z110" t="e">
        <f>AND(#REF!,"AAAAAH///hk=")</f>
        <v>#REF!</v>
      </c>
      <c r="AA110" t="e">
        <f>AND(#REF!,"AAAAAH///ho=")</f>
        <v>#REF!</v>
      </c>
      <c r="AB110" t="e">
        <f>AND(#REF!,"AAAAAH///hs=")</f>
        <v>#REF!</v>
      </c>
      <c r="AC110" t="e">
        <f>IF(#REF!,"AAAAAH///hw=",0)</f>
        <v>#REF!</v>
      </c>
      <c r="AD110" t="e">
        <f>AND(#REF!,"AAAAAH///h0=")</f>
        <v>#REF!</v>
      </c>
      <c r="AE110" t="e">
        <f>AND(#REF!,"AAAAAH///h4=")</f>
        <v>#REF!</v>
      </c>
      <c r="AF110" t="e">
        <f>AND(#REF!,"AAAAAH///h8=")</f>
        <v>#REF!</v>
      </c>
      <c r="AG110" t="e">
        <f>AND(#REF!,"AAAAAH///iA=")</f>
        <v>#REF!</v>
      </c>
      <c r="AH110" t="e">
        <f>AND(#REF!,"AAAAAH///iE=")</f>
        <v>#REF!</v>
      </c>
      <c r="AI110" t="e">
        <f>AND(#REF!,"AAAAAH///iI=")</f>
        <v>#REF!</v>
      </c>
      <c r="AJ110" t="e">
        <f>IF(#REF!,"AAAAAH///iM=",0)</f>
        <v>#REF!</v>
      </c>
      <c r="AK110" t="e">
        <f>AND(#REF!,"AAAAAH///iQ=")</f>
        <v>#REF!</v>
      </c>
      <c r="AL110" t="e">
        <f>AND(#REF!,"AAAAAH///iU=")</f>
        <v>#REF!</v>
      </c>
      <c r="AM110" t="e">
        <f>AND(#REF!,"AAAAAH///iY=")</f>
        <v>#REF!</v>
      </c>
      <c r="AN110" t="e">
        <f>AND(#REF!,"AAAAAH///ic=")</f>
        <v>#REF!</v>
      </c>
      <c r="AO110" t="e">
        <f>AND(#REF!,"AAAAAH///ig=")</f>
        <v>#REF!</v>
      </c>
      <c r="AP110" t="e">
        <f>AND(#REF!,"AAAAAH///ik=")</f>
        <v>#REF!</v>
      </c>
      <c r="AQ110" t="e">
        <f>IF(#REF!,"AAAAAH///io=",0)</f>
        <v>#REF!</v>
      </c>
      <c r="AR110" t="e">
        <f>AND(#REF!,"AAAAAH///is=")</f>
        <v>#REF!</v>
      </c>
      <c r="AS110" t="e">
        <f>AND(#REF!,"AAAAAH///iw=")</f>
        <v>#REF!</v>
      </c>
      <c r="AT110" t="e">
        <f>AND(#REF!,"AAAAAH///i0=")</f>
        <v>#REF!</v>
      </c>
      <c r="AU110" t="e">
        <f>AND(#REF!,"AAAAAH///i4=")</f>
        <v>#REF!</v>
      </c>
      <c r="AV110" t="e">
        <f>AND(#REF!,"AAAAAH///i8=")</f>
        <v>#REF!</v>
      </c>
      <c r="AW110" t="e">
        <f>AND(#REF!,"AAAAAH///jA=")</f>
        <v>#REF!</v>
      </c>
      <c r="AX110" t="e">
        <f>IF(#REF!,"AAAAAH///jE=",0)</f>
        <v>#REF!</v>
      </c>
      <c r="AY110" t="e">
        <f>AND(#REF!,"AAAAAH///jI=")</f>
        <v>#REF!</v>
      </c>
      <c r="AZ110" t="e">
        <f>AND(#REF!,"AAAAAH///jM=")</f>
        <v>#REF!</v>
      </c>
      <c r="BA110" t="e">
        <f>AND(#REF!,"AAAAAH///jQ=")</f>
        <v>#REF!</v>
      </c>
      <c r="BB110" t="e">
        <f>AND(#REF!,"AAAAAH///jU=")</f>
        <v>#REF!</v>
      </c>
      <c r="BC110" t="e">
        <f>AND(#REF!,"AAAAAH///jY=")</f>
        <v>#REF!</v>
      </c>
      <c r="BD110" t="e">
        <f>AND(#REF!,"AAAAAH///jc=")</f>
        <v>#REF!</v>
      </c>
      <c r="BE110" t="e">
        <f>IF(#REF!,"AAAAAH///jg=",0)</f>
        <v>#REF!</v>
      </c>
      <c r="BF110" t="e">
        <f>AND(#REF!,"AAAAAH///jk=")</f>
        <v>#REF!</v>
      </c>
      <c r="BG110" t="e">
        <f>AND(#REF!,"AAAAAH///jo=")</f>
        <v>#REF!</v>
      </c>
      <c r="BH110" t="e">
        <f>AND(#REF!,"AAAAAH///js=")</f>
        <v>#REF!</v>
      </c>
      <c r="BI110" t="e">
        <f>AND(#REF!,"AAAAAH///jw=")</f>
        <v>#REF!</v>
      </c>
      <c r="BJ110" t="e">
        <f>AND(#REF!,"AAAAAH///j0=")</f>
        <v>#REF!</v>
      </c>
      <c r="BK110" t="e">
        <f>AND(#REF!,"AAAAAH///j4=")</f>
        <v>#REF!</v>
      </c>
      <c r="BL110" t="e">
        <f>IF(#REF!,"AAAAAH///j8=",0)</f>
        <v>#REF!</v>
      </c>
      <c r="BM110" t="e">
        <f>AND(#REF!,"AAAAAH///kA=")</f>
        <v>#REF!</v>
      </c>
      <c r="BN110" t="e">
        <f>AND(#REF!,"AAAAAH///kE=")</f>
        <v>#REF!</v>
      </c>
      <c r="BO110" t="e">
        <f>AND(#REF!,"AAAAAH///kI=")</f>
        <v>#REF!</v>
      </c>
      <c r="BP110" t="e">
        <f>AND(#REF!,"AAAAAH///kM=")</f>
        <v>#REF!</v>
      </c>
      <c r="BQ110" t="e">
        <f>AND(#REF!,"AAAAAH///kQ=")</f>
        <v>#REF!</v>
      </c>
      <c r="BR110" t="e">
        <f>AND(#REF!,"AAAAAH///kU=")</f>
        <v>#REF!</v>
      </c>
      <c r="BS110" t="e">
        <f>IF(#REF!,"AAAAAH///kY=",0)</f>
        <v>#REF!</v>
      </c>
      <c r="BT110" t="e">
        <f>AND(#REF!,"AAAAAH///kc=")</f>
        <v>#REF!</v>
      </c>
      <c r="BU110" t="e">
        <f>AND(#REF!,"AAAAAH///kg=")</f>
        <v>#REF!</v>
      </c>
      <c r="BV110" t="e">
        <f>AND(#REF!,"AAAAAH///kk=")</f>
        <v>#REF!</v>
      </c>
      <c r="BW110" t="e">
        <f>AND(#REF!,"AAAAAH///ko=")</f>
        <v>#REF!</v>
      </c>
      <c r="BX110" t="e">
        <f>AND(#REF!,"AAAAAH///ks=")</f>
        <v>#REF!</v>
      </c>
      <c r="BY110" t="e">
        <f>AND(#REF!,"AAAAAH///kw=")</f>
        <v>#REF!</v>
      </c>
      <c r="BZ110" t="e">
        <f>IF(#REF!,"AAAAAH///k0=",0)</f>
        <v>#REF!</v>
      </c>
      <c r="CA110" t="e">
        <f>AND(#REF!,"AAAAAH///k4=")</f>
        <v>#REF!</v>
      </c>
      <c r="CB110" t="e">
        <f>AND(#REF!,"AAAAAH///k8=")</f>
        <v>#REF!</v>
      </c>
      <c r="CC110" t="e">
        <f>AND(#REF!,"AAAAAH///lA=")</f>
        <v>#REF!</v>
      </c>
      <c r="CD110" t="e">
        <f>AND(#REF!,"AAAAAH///lE=")</f>
        <v>#REF!</v>
      </c>
      <c r="CE110" t="e">
        <f>AND(#REF!,"AAAAAH///lI=")</f>
        <v>#REF!</v>
      </c>
      <c r="CF110" t="e">
        <f>AND(#REF!,"AAAAAH///lM=")</f>
        <v>#REF!</v>
      </c>
      <c r="CG110" t="e">
        <f>IF(#REF!,"AAAAAH///lQ=",0)</f>
        <v>#REF!</v>
      </c>
      <c r="CH110" t="e">
        <f>AND(#REF!,"AAAAAH///lU=")</f>
        <v>#REF!</v>
      </c>
      <c r="CI110" t="e">
        <f>AND(#REF!,"AAAAAH///lY=")</f>
        <v>#REF!</v>
      </c>
      <c r="CJ110" t="e">
        <f>AND(#REF!,"AAAAAH///lc=")</f>
        <v>#REF!</v>
      </c>
      <c r="CK110" t="e">
        <f>AND(#REF!,"AAAAAH///lg=")</f>
        <v>#REF!</v>
      </c>
      <c r="CL110" t="e">
        <f>AND(#REF!,"AAAAAH///lk=")</f>
        <v>#REF!</v>
      </c>
      <c r="CM110" t="e">
        <f>AND(#REF!,"AAAAAH///lo=")</f>
        <v>#REF!</v>
      </c>
      <c r="CN110" t="e">
        <f>IF(#REF!,"AAAAAH///ls=",0)</f>
        <v>#REF!</v>
      </c>
      <c r="CO110" t="e">
        <f>AND(#REF!,"AAAAAH///lw=")</f>
        <v>#REF!</v>
      </c>
      <c r="CP110" t="e">
        <f>AND(#REF!,"AAAAAH///l0=")</f>
        <v>#REF!</v>
      </c>
      <c r="CQ110" t="e">
        <f>AND(#REF!,"AAAAAH///l4=")</f>
        <v>#REF!</v>
      </c>
      <c r="CR110" t="e">
        <f>AND(#REF!,"AAAAAH///l8=")</f>
        <v>#REF!</v>
      </c>
      <c r="CS110" t="e">
        <f>AND(#REF!,"AAAAAH///mA=")</f>
        <v>#REF!</v>
      </c>
      <c r="CT110" t="e">
        <f>AND(#REF!,"AAAAAH///mE=")</f>
        <v>#REF!</v>
      </c>
      <c r="CU110" t="e">
        <f>IF(#REF!,"AAAAAH///mI=",0)</f>
        <v>#REF!</v>
      </c>
      <c r="CV110" t="e">
        <f>AND(#REF!,"AAAAAH///mM=")</f>
        <v>#REF!</v>
      </c>
      <c r="CW110" t="e">
        <f>AND(#REF!,"AAAAAH///mQ=")</f>
        <v>#REF!</v>
      </c>
      <c r="CX110" t="e">
        <f>AND(#REF!,"AAAAAH///mU=")</f>
        <v>#REF!</v>
      </c>
      <c r="CY110" t="e">
        <f>AND(#REF!,"AAAAAH///mY=")</f>
        <v>#REF!</v>
      </c>
      <c r="CZ110" t="e">
        <f>AND(#REF!,"AAAAAH///mc=")</f>
        <v>#REF!</v>
      </c>
      <c r="DA110" t="e">
        <f>AND(#REF!,"AAAAAH///mg=")</f>
        <v>#REF!</v>
      </c>
      <c r="DB110" t="e">
        <f>IF(#REF!,"AAAAAH///mk=",0)</f>
        <v>#REF!</v>
      </c>
      <c r="DC110" t="e">
        <f>AND(#REF!,"AAAAAH///mo=")</f>
        <v>#REF!</v>
      </c>
      <c r="DD110" t="e">
        <f>AND(#REF!,"AAAAAH///ms=")</f>
        <v>#REF!</v>
      </c>
      <c r="DE110" t="e">
        <f>AND(#REF!,"AAAAAH///mw=")</f>
        <v>#REF!</v>
      </c>
      <c r="DF110" t="e">
        <f>AND(#REF!,"AAAAAH///m0=")</f>
        <v>#REF!</v>
      </c>
      <c r="DG110" t="e">
        <f>AND(#REF!,"AAAAAH///m4=")</f>
        <v>#REF!</v>
      </c>
      <c r="DH110" t="e">
        <f>AND(#REF!,"AAAAAH///m8=")</f>
        <v>#REF!</v>
      </c>
      <c r="DI110" t="e">
        <f>IF(#REF!,"AAAAAH///nA=",0)</f>
        <v>#REF!</v>
      </c>
      <c r="DJ110" t="e">
        <f>AND(#REF!,"AAAAAH///nE=")</f>
        <v>#REF!</v>
      </c>
      <c r="DK110" t="e">
        <f>AND(#REF!,"AAAAAH///nI=")</f>
        <v>#REF!</v>
      </c>
      <c r="DL110" t="e">
        <f>AND(#REF!,"AAAAAH///nM=")</f>
        <v>#REF!</v>
      </c>
      <c r="DM110" t="e">
        <f>AND(#REF!,"AAAAAH///nQ=")</f>
        <v>#REF!</v>
      </c>
      <c r="DN110" t="e">
        <f>AND(#REF!,"AAAAAH///nU=")</f>
        <v>#REF!</v>
      </c>
      <c r="DO110" t="e">
        <f>AND(#REF!,"AAAAAH///nY=")</f>
        <v>#REF!</v>
      </c>
      <c r="DP110" t="e">
        <f>IF(#REF!,"AAAAAH///nc=",0)</f>
        <v>#REF!</v>
      </c>
      <c r="DQ110" t="e">
        <f>AND(#REF!,"AAAAAH///ng=")</f>
        <v>#REF!</v>
      </c>
      <c r="DR110" t="e">
        <f>AND(#REF!,"AAAAAH///nk=")</f>
        <v>#REF!</v>
      </c>
      <c r="DS110" t="e">
        <f>AND(#REF!,"AAAAAH///no=")</f>
        <v>#REF!</v>
      </c>
      <c r="DT110" t="e">
        <f>AND(#REF!,"AAAAAH///ns=")</f>
        <v>#REF!</v>
      </c>
      <c r="DU110" t="e">
        <f>AND(#REF!,"AAAAAH///nw=")</f>
        <v>#REF!</v>
      </c>
      <c r="DV110" t="e">
        <f>AND(#REF!,"AAAAAH///n0=")</f>
        <v>#REF!</v>
      </c>
      <c r="DW110" t="e">
        <f>IF(#REF!,"AAAAAH///n4=",0)</f>
        <v>#REF!</v>
      </c>
      <c r="DX110" t="e">
        <f>AND(#REF!,"AAAAAH///n8=")</f>
        <v>#REF!</v>
      </c>
      <c r="DY110" t="e">
        <f>AND(#REF!,"AAAAAH///oA=")</f>
        <v>#REF!</v>
      </c>
      <c r="DZ110" t="e">
        <f>AND(#REF!,"AAAAAH///oE=")</f>
        <v>#REF!</v>
      </c>
      <c r="EA110" t="e">
        <f>AND(#REF!,"AAAAAH///oI=")</f>
        <v>#REF!</v>
      </c>
      <c r="EB110" t="e">
        <f>AND(#REF!,"AAAAAH///oM=")</f>
        <v>#REF!</v>
      </c>
      <c r="EC110" t="e">
        <f>AND(#REF!,"AAAAAH///oQ=")</f>
        <v>#REF!</v>
      </c>
      <c r="ED110" t="e">
        <f>IF(#REF!,"AAAAAH///oU=",0)</f>
        <v>#REF!</v>
      </c>
      <c r="EE110" t="e">
        <f>AND(#REF!,"AAAAAH///oY=")</f>
        <v>#REF!</v>
      </c>
      <c r="EF110" t="e">
        <f>AND(#REF!,"AAAAAH///oc=")</f>
        <v>#REF!</v>
      </c>
      <c r="EG110" t="e">
        <f>AND(#REF!,"AAAAAH///og=")</f>
        <v>#REF!</v>
      </c>
      <c r="EH110" t="e">
        <f>AND(#REF!,"AAAAAH///ok=")</f>
        <v>#REF!</v>
      </c>
      <c r="EI110" t="e">
        <f>AND(#REF!,"AAAAAH///oo=")</f>
        <v>#REF!</v>
      </c>
      <c r="EJ110" t="e">
        <f>AND(#REF!,"AAAAAH///os=")</f>
        <v>#REF!</v>
      </c>
      <c r="EK110" t="e">
        <f>IF(#REF!,"AAAAAH///ow=",0)</f>
        <v>#REF!</v>
      </c>
      <c r="EL110" t="e">
        <f>AND(#REF!,"AAAAAH///o0=")</f>
        <v>#REF!</v>
      </c>
      <c r="EM110" t="e">
        <f>AND(#REF!,"AAAAAH///o4=")</f>
        <v>#REF!</v>
      </c>
      <c r="EN110" t="e">
        <f>AND(#REF!,"AAAAAH///o8=")</f>
        <v>#REF!</v>
      </c>
      <c r="EO110" t="e">
        <f>AND(#REF!,"AAAAAH///pA=")</f>
        <v>#REF!</v>
      </c>
      <c r="EP110" t="e">
        <f>AND(#REF!,"AAAAAH///pE=")</f>
        <v>#REF!</v>
      </c>
      <c r="EQ110" t="e">
        <f>AND(#REF!,"AAAAAH///pI=")</f>
        <v>#REF!</v>
      </c>
      <c r="ER110" t="e">
        <f>IF(#REF!,"AAAAAH///pM=",0)</f>
        <v>#REF!</v>
      </c>
      <c r="ES110" t="e">
        <f>AND(#REF!,"AAAAAH///pQ=")</f>
        <v>#REF!</v>
      </c>
      <c r="ET110" t="e">
        <f>AND(#REF!,"AAAAAH///pU=")</f>
        <v>#REF!</v>
      </c>
      <c r="EU110" t="e">
        <f>AND(#REF!,"AAAAAH///pY=")</f>
        <v>#REF!</v>
      </c>
      <c r="EV110" t="e">
        <f>AND(#REF!,"AAAAAH///pc=")</f>
        <v>#REF!</v>
      </c>
      <c r="EW110" t="e">
        <f>AND(#REF!,"AAAAAH///pg=")</f>
        <v>#REF!</v>
      </c>
      <c r="EX110" t="e">
        <f>AND(#REF!,"AAAAAH///pk=")</f>
        <v>#REF!</v>
      </c>
      <c r="EY110" t="e">
        <f>IF(#REF!,"AAAAAH///po=",0)</f>
        <v>#REF!</v>
      </c>
      <c r="EZ110" t="e">
        <f>AND(#REF!,"AAAAAH///ps=")</f>
        <v>#REF!</v>
      </c>
      <c r="FA110" t="e">
        <f>AND(#REF!,"AAAAAH///pw=")</f>
        <v>#REF!</v>
      </c>
      <c r="FB110" t="e">
        <f>AND(#REF!,"AAAAAH///p0=")</f>
        <v>#REF!</v>
      </c>
      <c r="FC110" t="e">
        <f>AND(#REF!,"AAAAAH///p4=")</f>
        <v>#REF!</v>
      </c>
      <c r="FD110" t="e">
        <f>AND(#REF!,"AAAAAH///p8=")</f>
        <v>#REF!</v>
      </c>
      <c r="FE110" t="e">
        <f>AND(#REF!,"AAAAAH///qA=")</f>
        <v>#REF!</v>
      </c>
      <c r="FF110" t="e">
        <f>IF(#REF!,"AAAAAH///qE=",0)</f>
        <v>#REF!</v>
      </c>
      <c r="FG110" t="e">
        <f>AND(#REF!,"AAAAAH///qI=")</f>
        <v>#REF!</v>
      </c>
      <c r="FH110" t="e">
        <f>AND(#REF!,"AAAAAH///qM=")</f>
        <v>#REF!</v>
      </c>
      <c r="FI110" t="e">
        <f>AND(#REF!,"AAAAAH///qQ=")</f>
        <v>#REF!</v>
      </c>
      <c r="FJ110" t="e">
        <f>AND(#REF!,"AAAAAH///qU=")</f>
        <v>#REF!</v>
      </c>
      <c r="FK110" t="e">
        <f>AND(#REF!,"AAAAAH///qY=")</f>
        <v>#REF!</v>
      </c>
      <c r="FL110" t="e">
        <f>AND(#REF!,"AAAAAH///qc=")</f>
        <v>#REF!</v>
      </c>
      <c r="FM110" t="e">
        <f>IF(#REF!,"AAAAAH///qg=",0)</f>
        <v>#REF!</v>
      </c>
      <c r="FN110" t="e">
        <f>AND(#REF!,"AAAAAH///qk=")</f>
        <v>#REF!</v>
      </c>
      <c r="FO110" t="e">
        <f>AND(#REF!,"AAAAAH///qo=")</f>
        <v>#REF!</v>
      </c>
      <c r="FP110" t="e">
        <f>AND(#REF!,"AAAAAH///qs=")</f>
        <v>#REF!</v>
      </c>
      <c r="FQ110" t="e">
        <f>AND(#REF!,"AAAAAH///qw=")</f>
        <v>#REF!</v>
      </c>
      <c r="FR110" t="e">
        <f>AND(#REF!,"AAAAAH///q0=")</f>
        <v>#REF!</v>
      </c>
      <c r="FS110" t="e">
        <f>AND(#REF!,"AAAAAH///q4=")</f>
        <v>#REF!</v>
      </c>
      <c r="FT110" t="e">
        <f>IF(#REF!,"AAAAAH///q8=",0)</f>
        <v>#REF!</v>
      </c>
      <c r="FU110" t="e">
        <f>AND(#REF!,"AAAAAH///rA=")</f>
        <v>#REF!</v>
      </c>
      <c r="FV110" t="e">
        <f>AND(#REF!,"AAAAAH///rE=")</f>
        <v>#REF!</v>
      </c>
      <c r="FW110" t="e">
        <f>AND(#REF!,"AAAAAH///rI=")</f>
        <v>#REF!</v>
      </c>
      <c r="FX110" t="e">
        <f>AND(#REF!,"AAAAAH///rM=")</f>
        <v>#REF!</v>
      </c>
      <c r="FY110" t="e">
        <f>AND(#REF!,"AAAAAH///rQ=")</f>
        <v>#REF!</v>
      </c>
      <c r="FZ110" t="e">
        <f>AND(#REF!,"AAAAAH///rU=")</f>
        <v>#REF!</v>
      </c>
      <c r="GA110" t="e">
        <f>IF(#REF!,"AAAAAH///rY=",0)</f>
        <v>#REF!</v>
      </c>
      <c r="GB110" t="e">
        <f>AND(#REF!,"AAAAAH///rc=")</f>
        <v>#REF!</v>
      </c>
      <c r="GC110" t="e">
        <f>AND(#REF!,"AAAAAH///rg=")</f>
        <v>#REF!</v>
      </c>
      <c r="GD110" t="e">
        <f>AND(#REF!,"AAAAAH///rk=")</f>
        <v>#REF!</v>
      </c>
      <c r="GE110" t="e">
        <f>AND(#REF!,"AAAAAH///ro=")</f>
        <v>#REF!</v>
      </c>
      <c r="GF110" t="e">
        <f>AND(#REF!,"AAAAAH///rs=")</f>
        <v>#REF!</v>
      </c>
      <c r="GG110" t="e">
        <f>AND(#REF!,"AAAAAH///rw=")</f>
        <v>#REF!</v>
      </c>
      <c r="GH110" t="e">
        <f>IF(#REF!,"AAAAAH///r0=",0)</f>
        <v>#REF!</v>
      </c>
      <c r="GI110" t="e">
        <f>AND(#REF!,"AAAAAH///r4=")</f>
        <v>#REF!</v>
      </c>
      <c r="GJ110" t="e">
        <f>AND(#REF!,"AAAAAH///r8=")</f>
        <v>#REF!</v>
      </c>
      <c r="GK110" t="e">
        <f>AND(#REF!,"AAAAAH///sA=")</f>
        <v>#REF!</v>
      </c>
      <c r="GL110" t="e">
        <f>AND(#REF!,"AAAAAH///sE=")</f>
        <v>#REF!</v>
      </c>
      <c r="GM110" t="e">
        <f>AND(#REF!,"AAAAAH///sI=")</f>
        <v>#REF!</v>
      </c>
      <c r="GN110" t="e">
        <f>AND(#REF!,"AAAAAH///sM=")</f>
        <v>#REF!</v>
      </c>
      <c r="GO110" t="e">
        <f>IF(#REF!,"AAAAAH///sQ=",0)</f>
        <v>#REF!</v>
      </c>
      <c r="GP110" t="e">
        <f>AND(#REF!,"AAAAAH///sU=")</f>
        <v>#REF!</v>
      </c>
      <c r="GQ110" t="e">
        <f>AND(#REF!,"AAAAAH///sY=")</f>
        <v>#REF!</v>
      </c>
      <c r="GR110" t="e">
        <f>AND(#REF!,"AAAAAH///sc=")</f>
        <v>#REF!</v>
      </c>
      <c r="GS110" t="e">
        <f>AND(#REF!,"AAAAAH///sg=")</f>
        <v>#REF!</v>
      </c>
      <c r="GT110" t="e">
        <f>AND(#REF!,"AAAAAH///sk=")</f>
        <v>#REF!</v>
      </c>
      <c r="GU110" t="e">
        <f>AND(#REF!,"AAAAAH///so=")</f>
        <v>#REF!</v>
      </c>
      <c r="GV110" t="e">
        <f>IF(#REF!,"AAAAAH///ss=",0)</f>
        <v>#REF!</v>
      </c>
      <c r="GW110" t="e">
        <f>AND(#REF!,"AAAAAH///sw=")</f>
        <v>#REF!</v>
      </c>
      <c r="GX110" t="e">
        <f>AND(#REF!,"AAAAAH///s0=")</f>
        <v>#REF!</v>
      </c>
      <c r="GY110" t="e">
        <f>AND(#REF!,"AAAAAH///s4=")</f>
        <v>#REF!</v>
      </c>
      <c r="GZ110" t="e">
        <f>AND(#REF!,"AAAAAH///s8=")</f>
        <v>#REF!</v>
      </c>
      <c r="HA110" t="e">
        <f>AND(#REF!,"AAAAAH///tA=")</f>
        <v>#REF!</v>
      </c>
      <c r="HB110" t="e">
        <f>AND(#REF!,"AAAAAH///tE=")</f>
        <v>#REF!</v>
      </c>
      <c r="HC110" t="e">
        <f>IF(#REF!,"AAAAAH///tI=",0)</f>
        <v>#REF!</v>
      </c>
      <c r="HD110" t="e">
        <f>AND(#REF!,"AAAAAH///tM=")</f>
        <v>#REF!</v>
      </c>
      <c r="HE110" t="e">
        <f>AND(#REF!,"AAAAAH///tQ=")</f>
        <v>#REF!</v>
      </c>
      <c r="HF110" t="e">
        <f>AND(#REF!,"AAAAAH///tU=")</f>
        <v>#REF!</v>
      </c>
      <c r="HG110" t="e">
        <f>AND(#REF!,"AAAAAH///tY=")</f>
        <v>#REF!</v>
      </c>
      <c r="HH110" t="e">
        <f>AND(#REF!,"AAAAAH///tc=")</f>
        <v>#REF!</v>
      </c>
      <c r="HI110" t="e">
        <f>AND(#REF!,"AAAAAH///tg=")</f>
        <v>#REF!</v>
      </c>
      <c r="HJ110" t="e">
        <f>IF(#REF!,"AAAAAH///tk=",0)</f>
        <v>#REF!</v>
      </c>
      <c r="HK110" t="e">
        <f>AND(#REF!,"AAAAAH///to=")</f>
        <v>#REF!</v>
      </c>
      <c r="HL110" t="e">
        <f>AND(#REF!,"AAAAAH///ts=")</f>
        <v>#REF!</v>
      </c>
      <c r="HM110" t="e">
        <f>AND(#REF!,"AAAAAH///tw=")</f>
        <v>#REF!</v>
      </c>
      <c r="HN110" t="e">
        <f>AND(#REF!,"AAAAAH///t0=")</f>
        <v>#REF!</v>
      </c>
      <c r="HO110" t="e">
        <f>AND(#REF!,"AAAAAH///t4=")</f>
        <v>#REF!</v>
      </c>
      <c r="HP110" t="e">
        <f>AND(#REF!,"AAAAAH///t8=")</f>
        <v>#REF!</v>
      </c>
      <c r="HQ110" t="e">
        <f>IF(#REF!,"AAAAAH///uA=",0)</f>
        <v>#REF!</v>
      </c>
      <c r="HR110" t="e">
        <f>AND(#REF!,"AAAAAH///uE=")</f>
        <v>#REF!</v>
      </c>
      <c r="HS110" t="e">
        <f>AND(#REF!,"AAAAAH///uI=")</f>
        <v>#REF!</v>
      </c>
      <c r="HT110" t="e">
        <f>AND(#REF!,"AAAAAH///uM=")</f>
        <v>#REF!</v>
      </c>
      <c r="HU110" t="e">
        <f>AND(#REF!,"AAAAAH///uQ=")</f>
        <v>#REF!</v>
      </c>
      <c r="HV110" t="e">
        <f>AND(#REF!,"AAAAAH///uU=")</f>
        <v>#REF!</v>
      </c>
      <c r="HW110" t="e">
        <f>AND(#REF!,"AAAAAH///uY=")</f>
        <v>#REF!</v>
      </c>
      <c r="HX110" t="e">
        <f>IF(#REF!,"AAAAAH///uc=",0)</f>
        <v>#REF!</v>
      </c>
      <c r="HY110" t="e">
        <f>AND(#REF!,"AAAAAH///ug=")</f>
        <v>#REF!</v>
      </c>
      <c r="HZ110" t="e">
        <f>AND(#REF!,"AAAAAH///uk=")</f>
        <v>#REF!</v>
      </c>
      <c r="IA110" t="e">
        <f>AND(#REF!,"AAAAAH///uo=")</f>
        <v>#REF!</v>
      </c>
      <c r="IB110" t="e">
        <f>AND(#REF!,"AAAAAH///us=")</f>
        <v>#REF!</v>
      </c>
      <c r="IC110" t="e">
        <f>AND(#REF!,"AAAAAH///uw=")</f>
        <v>#REF!</v>
      </c>
      <c r="ID110" t="e">
        <f>AND(#REF!,"AAAAAH///u0=")</f>
        <v>#REF!</v>
      </c>
      <c r="IE110" t="e">
        <f>IF(#REF!,"AAAAAH///u4=",0)</f>
        <v>#REF!</v>
      </c>
      <c r="IF110" t="e">
        <f>AND(#REF!,"AAAAAH///u8=")</f>
        <v>#REF!</v>
      </c>
      <c r="IG110" t="e">
        <f>AND(#REF!,"AAAAAH///vA=")</f>
        <v>#REF!</v>
      </c>
      <c r="IH110" t="e">
        <f>AND(#REF!,"AAAAAH///vE=")</f>
        <v>#REF!</v>
      </c>
      <c r="II110" t="e">
        <f>AND(#REF!,"AAAAAH///vI=")</f>
        <v>#REF!</v>
      </c>
      <c r="IJ110" t="e">
        <f>AND(#REF!,"AAAAAH///vM=")</f>
        <v>#REF!</v>
      </c>
      <c r="IK110" t="e">
        <f>AND(#REF!,"AAAAAH///vQ=")</f>
        <v>#REF!</v>
      </c>
      <c r="IL110" t="e">
        <f>IF(#REF!,"AAAAAH///vU=",0)</f>
        <v>#REF!</v>
      </c>
      <c r="IM110" t="e">
        <f>AND(#REF!,"AAAAAH///vY=")</f>
        <v>#REF!</v>
      </c>
      <c r="IN110" t="e">
        <f>AND(#REF!,"AAAAAH///vc=")</f>
        <v>#REF!</v>
      </c>
      <c r="IO110" t="e">
        <f>AND(#REF!,"AAAAAH///vg=")</f>
        <v>#REF!</v>
      </c>
      <c r="IP110" t="e">
        <f>AND(#REF!,"AAAAAH///vk=")</f>
        <v>#REF!</v>
      </c>
      <c r="IQ110" t="e">
        <f>AND(#REF!,"AAAAAH///vo=")</f>
        <v>#REF!</v>
      </c>
      <c r="IR110" t="e">
        <f>AND(#REF!,"AAAAAH///vs=")</f>
        <v>#REF!</v>
      </c>
      <c r="IS110" t="e">
        <f>IF(#REF!,"AAAAAH///vw=",0)</f>
        <v>#REF!</v>
      </c>
      <c r="IT110" t="e">
        <f>AND(#REF!,"AAAAAH///v0=")</f>
        <v>#REF!</v>
      </c>
      <c r="IU110" t="e">
        <f>AND(#REF!,"AAAAAH///v4=")</f>
        <v>#REF!</v>
      </c>
      <c r="IV110" t="e">
        <f>AND(#REF!,"AAAAAH///v8=")</f>
        <v>#REF!</v>
      </c>
    </row>
    <row r="111" spans="1:256" x14ac:dyDescent="0.15">
      <c r="A111" t="e">
        <f>AND(#REF!,"AAAAAHV3/QA=")</f>
        <v>#REF!</v>
      </c>
      <c r="B111" t="e">
        <f>AND(#REF!,"AAAAAHV3/QE=")</f>
        <v>#REF!</v>
      </c>
      <c r="C111" t="e">
        <f>AND(#REF!,"AAAAAHV3/QI=")</f>
        <v>#REF!</v>
      </c>
      <c r="D111" t="e">
        <f>IF(#REF!,"AAAAAHV3/QM=",0)</f>
        <v>#REF!</v>
      </c>
      <c r="E111" t="e">
        <f>AND(#REF!,"AAAAAHV3/QQ=")</f>
        <v>#REF!</v>
      </c>
      <c r="F111" t="e">
        <f>AND(#REF!,"AAAAAHV3/QU=")</f>
        <v>#REF!</v>
      </c>
      <c r="G111" t="e">
        <f>AND(#REF!,"AAAAAHV3/QY=")</f>
        <v>#REF!</v>
      </c>
      <c r="H111" t="e">
        <f>AND(#REF!,"AAAAAHV3/Qc=")</f>
        <v>#REF!</v>
      </c>
      <c r="I111" t="e">
        <f>AND(#REF!,"AAAAAHV3/Qg=")</f>
        <v>#REF!</v>
      </c>
      <c r="J111" t="e">
        <f>AND(#REF!,"AAAAAHV3/Qk=")</f>
        <v>#REF!</v>
      </c>
      <c r="K111" t="e">
        <f>IF(#REF!,"AAAAAHV3/Qo=",0)</f>
        <v>#REF!</v>
      </c>
      <c r="L111" t="e">
        <f>AND(#REF!,"AAAAAHV3/Qs=")</f>
        <v>#REF!</v>
      </c>
      <c r="M111" t="e">
        <f>AND(#REF!,"AAAAAHV3/Qw=")</f>
        <v>#REF!</v>
      </c>
      <c r="N111" t="e">
        <f>AND(#REF!,"AAAAAHV3/Q0=")</f>
        <v>#REF!</v>
      </c>
      <c r="O111" t="e">
        <f>AND(#REF!,"AAAAAHV3/Q4=")</f>
        <v>#REF!</v>
      </c>
      <c r="P111" t="e">
        <f>AND(#REF!,"AAAAAHV3/Q8=")</f>
        <v>#REF!</v>
      </c>
      <c r="Q111" t="e">
        <f>AND(#REF!,"AAAAAHV3/RA=")</f>
        <v>#REF!</v>
      </c>
      <c r="R111" t="e">
        <f>IF(#REF!,"AAAAAHV3/RE=",0)</f>
        <v>#REF!</v>
      </c>
      <c r="S111" t="e">
        <f>AND(#REF!,"AAAAAHV3/RI=")</f>
        <v>#REF!</v>
      </c>
      <c r="T111" t="e">
        <f>AND(#REF!,"AAAAAHV3/RM=")</f>
        <v>#REF!</v>
      </c>
      <c r="U111" t="e">
        <f>AND(#REF!,"AAAAAHV3/RQ=")</f>
        <v>#REF!</v>
      </c>
      <c r="V111" t="e">
        <f>AND(#REF!,"AAAAAHV3/RU=")</f>
        <v>#REF!</v>
      </c>
      <c r="W111" t="e">
        <f>AND(#REF!,"AAAAAHV3/RY=")</f>
        <v>#REF!</v>
      </c>
      <c r="X111" t="e">
        <f>AND(#REF!,"AAAAAHV3/Rc=")</f>
        <v>#REF!</v>
      </c>
      <c r="Y111" t="e">
        <f>IF(#REF!,"AAAAAHV3/Rg=",0)</f>
        <v>#REF!</v>
      </c>
      <c r="Z111" t="e">
        <f>AND(#REF!,"AAAAAHV3/Rk=")</f>
        <v>#REF!</v>
      </c>
      <c r="AA111" t="e">
        <f>AND(#REF!,"AAAAAHV3/Ro=")</f>
        <v>#REF!</v>
      </c>
      <c r="AB111" t="e">
        <f>AND(#REF!,"AAAAAHV3/Rs=")</f>
        <v>#REF!</v>
      </c>
      <c r="AC111" t="e">
        <f>AND(#REF!,"AAAAAHV3/Rw=")</f>
        <v>#REF!</v>
      </c>
      <c r="AD111" t="e">
        <f>AND(#REF!,"AAAAAHV3/R0=")</f>
        <v>#REF!</v>
      </c>
      <c r="AE111" t="e">
        <f>AND(#REF!,"AAAAAHV3/R4=")</f>
        <v>#REF!</v>
      </c>
      <c r="AF111" t="e">
        <f>IF(#REF!,"AAAAAHV3/R8=",0)</f>
        <v>#REF!</v>
      </c>
      <c r="AG111" t="e">
        <f>AND(#REF!,"AAAAAHV3/SA=")</f>
        <v>#REF!</v>
      </c>
      <c r="AH111" t="e">
        <f>AND(#REF!,"AAAAAHV3/SE=")</f>
        <v>#REF!</v>
      </c>
      <c r="AI111" t="e">
        <f>AND(#REF!,"AAAAAHV3/SI=")</f>
        <v>#REF!</v>
      </c>
      <c r="AJ111" t="e">
        <f>AND(#REF!,"AAAAAHV3/SM=")</f>
        <v>#REF!</v>
      </c>
      <c r="AK111" t="e">
        <f>AND(#REF!,"AAAAAHV3/SQ=")</f>
        <v>#REF!</v>
      </c>
      <c r="AL111" t="e">
        <f>AND(#REF!,"AAAAAHV3/SU=")</f>
        <v>#REF!</v>
      </c>
      <c r="AM111" t="e">
        <f>IF(#REF!,"AAAAAHV3/SY=",0)</f>
        <v>#REF!</v>
      </c>
      <c r="AN111" t="e">
        <f>AND(#REF!,"AAAAAHV3/Sc=")</f>
        <v>#REF!</v>
      </c>
      <c r="AO111" t="e">
        <f>AND(#REF!,"AAAAAHV3/Sg=")</f>
        <v>#REF!</v>
      </c>
      <c r="AP111" t="e">
        <f>AND(#REF!,"AAAAAHV3/Sk=")</f>
        <v>#REF!</v>
      </c>
      <c r="AQ111" t="e">
        <f>AND(#REF!,"AAAAAHV3/So=")</f>
        <v>#REF!</v>
      </c>
      <c r="AR111" t="e">
        <f>AND(#REF!,"AAAAAHV3/Ss=")</f>
        <v>#REF!</v>
      </c>
      <c r="AS111" t="e">
        <f>AND(#REF!,"AAAAAHV3/Sw=")</f>
        <v>#REF!</v>
      </c>
      <c r="AT111" t="e">
        <f>IF(#REF!,"AAAAAHV3/S0=",0)</f>
        <v>#REF!</v>
      </c>
      <c r="AU111" t="e">
        <f>AND(#REF!,"AAAAAHV3/S4=")</f>
        <v>#REF!</v>
      </c>
      <c r="AV111" t="e">
        <f>AND(#REF!,"AAAAAHV3/S8=")</f>
        <v>#REF!</v>
      </c>
      <c r="AW111" t="e">
        <f>AND(#REF!,"AAAAAHV3/TA=")</f>
        <v>#REF!</v>
      </c>
      <c r="AX111" t="e">
        <f>AND(#REF!,"AAAAAHV3/TE=")</f>
        <v>#REF!</v>
      </c>
      <c r="AY111" t="e">
        <f>AND(#REF!,"AAAAAHV3/TI=")</f>
        <v>#REF!</v>
      </c>
      <c r="AZ111" t="e">
        <f>AND(#REF!,"AAAAAHV3/TM=")</f>
        <v>#REF!</v>
      </c>
      <c r="BA111" t="e">
        <f>IF(#REF!,"AAAAAHV3/TQ=",0)</f>
        <v>#REF!</v>
      </c>
      <c r="BB111" t="e">
        <f>AND(#REF!,"AAAAAHV3/TU=")</f>
        <v>#REF!</v>
      </c>
      <c r="BC111" t="e">
        <f>AND(#REF!,"AAAAAHV3/TY=")</f>
        <v>#REF!</v>
      </c>
      <c r="BD111" t="e">
        <f>AND(#REF!,"AAAAAHV3/Tc=")</f>
        <v>#REF!</v>
      </c>
      <c r="BE111" t="e">
        <f>AND(#REF!,"AAAAAHV3/Tg=")</f>
        <v>#REF!</v>
      </c>
      <c r="BF111" t="e">
        <f>AND(#REF!,"AAAAAHV3/Tk=")</f>
        <v>#REF!</v>
      </c>
      <c r="BG111" t="e">
        <f>AND(#REF!,"AAAAAHV3/To=")</f>
        <v>#REF!</v>
      </c>
      <c r="BH111" t="e">
        <f>IF(#REF!,"AAAAAHV3/Ts=",0)</f>
        <v>#REF!</v>
      </c>
      <c r="BI111" t="e">
        <f>AND(#REF!,"AAAAAHV3/Tw=")</f>
        <v>#REF!</v>
      </c>
      <c r="BJ111" t="e">
        <f>AND(#REF!,"AAAAAHV3/T0=")</f>
        <v>#REF!</v>
      </c>
      <c r="BK111" t="e">
        <f>AND(#REF!,"AAAAAHV3/T4=")</f>
        <v>#REF!</v>
      </c>
      <c r="BL111" t="e">
        <f>AND(#REF!,"AAAAAHV3/T8=")</f>
        <v>#REF!</v>
      </c>
      <c r="BM111" t="e">
        <f>AND(#REF!,"AAAAAHV3/UA=")</f>
        <v>#REF!</v>
      </c>
      <c r="BN111" t="e">
        <f>AND(#REF!,"AAAAAHV3/UE=")</f>
        <v>#REF!</v>
      </c>
      <c r="BO111" t="e">
        <f>IF(#REF!,"AAAAAHV3/UI=",0)</f>
        <v>#REF!</v>
      </c>
      <c r="BP111" t="e">
        <f>AND(#REF!,"AAAAAHV3/UM=")</f>
        <v>#REF!</v>
      </c>
      <c r="BQ111" t="e">
        <f>AND(#REF!,"AAAAAHV3/UQ=")</f>
        <v>#REF!</v>
      </c>
      <c r="BR111" t="e">
        <f>AND(#REF!,"AAAAAHV3/UU=")</f>
        <v>#REF!</v>
      </c>
      <c r="BS111" t="e">
        <f>AND(#REF!,"AAAAAHV3/UY=")</f>
        <v>#REF!</v>
      </c>
      <c r="BT111" t="e">
        <f>AND(#REF!,"AAAAAHV3/Uc=")</f>
        <v>#REF!</v>
      </c>
      <c r="BU111" t="e">
        <f>AND(#REF!,"AAAAAHV3/Ug=")</f>
        <v>#REF!</v>
      </c>
      <c r="BV111" t="e">
        <f>IF(#REF!,"AAAAAHV3/Uk=",0)</f>
        <v>#REF!</v>
      </c>
      <c r="BW111" t="e">
        <f>AND(#REF!,"AAAAAHV3/Uo=")</f>
        <v>#REF!</v>
      </c>
      <c r="BX111" t="e">
        <f>AND(#REF!,"AAAAAHV3/Us=")</f>
        <v>#REF!</v>
      </c>
      <c r="BY111" t="e">
        <f>AND(#REF!,"AAAAAHV3/Uw=")</f>
        <v>#REF!</v>
      </c>
      <c r="BZ111" t="e">
        <f>AND(#REF!,"AAAAAHV3/U0=")</f>
        <v>#REF!</v>
      </c>
      <c r="CA111" t="e">
        <f>AND(#REF!,"AAAAAHV3/U4=")</f>
        <v>#REF!</v>
      </c>
      <c r="CB111" t="e">
        <f>AND(#REF!,"AAAAAHV3/U8=")</f>
        <v>#REF!</v>
      </c>
      <c r="CC111" t="e">
        <f>IF(#REF!,"AAAAAHV3/VA=",0)</f>
        <v>#REF!</v>
      </c>
      <c r="CD111" t="e">
        <f>AND(#REF!,"AAAAAHV3/VE=")</f>
        <v>#REF!</v>
      </c>
      <c r="CE111" t="e">
        <f>AND(#REF!,"AAAAAHV3/VI=")</f>
        <v>#REF!</v>
      </c>
      <c r="CF111" t="e">
        <f>AND(#REF!,"AAAAAHV3/VM=")</f>
        <v>#REF!</v>
      </c>
      <c r="CG111" t="e">
        <f>AND(#REF!,"AAAAAHV3/VQ=")</f>
        <v>#REF!</v>
      </c>
      <c r="CH111" t="e">
        <f>AND(#REF!,"AAAAAHV3/VU=")</f>
        <v>#REF!</v>
      </c>
      <c r="CI111" t="e">
        <f>AND(#REF!,"AAAAAHV3/VY=")</f>
        <v>#REF!</v>
      </c>
      <c r="CJ111" t="e">
        <f>IF(#REF!,"AAAAAHV3/Vc=",0)</f>
        <v>#REF!</v>
      </c>
      <c r="CK111" t="e">
        <f>AND(#REF!,"AAAAAHV3/Vg=")</f>
        <v>#REF!</v>
      </c>
      <c r="CL111" t="e">
        <f>AND(#REF!,"AAAAAHV3/Vk=")</f>
        <v>#REF!</v>
      </c>
      <c r="CM111" t="e">
        <f>AND(#REF!,"AAAAAHV3/Vo=")</f>
        <v>#REF!</v>
      </c>
      <c r="CN111" t="e">
        <f>AND(#REF!,"AAAAAHV3/Vs=")</f>
        <v>#REF!</v>
      </c>
      <c r="CO111" t="e">
        <f>AND(#REF!,"AAAAAHV3/Vw=")</f>
        <v>#REF!</v>
      </c>
      <c r="CP111" t="e">
        <f>AND(#REF!,"AAAAAHV3/V0=")</f>
        <v>#REF!</v>
      </c>
      <c r="CQ111" t="e">
        <f>IF(#REF!,"AAAAAHV3/V4=",0)</f>
        <v>#REF!</v>
      </c>
      <c r="CR111" t="e">
        <f>AND(#REF!,"AAAAAHV3/V8=")</f>
        <v>#REF!</v>
      </c>
      <c r="CS111" t="e">
        <f>AND(#REF!,"AAAAAHV3/WA=")</f>
        <v>#REF!</v>
      </c>
      <c r="CT111" t="e">
        <f>AND(#REF!,"AAAAAHV3/WE=")</f>
        <v>#REF!</v>
      </c>
      <c r="CU111" t="e">
        <f>AND(#REF!,"AAAAAHV3/WI=")</f>
        <v>#REF!</v>
      </c>
      <c r="CV111" t="e">
        <f>AND(#REF!,"AAAAAHV3/WM=")</f>
        <v>#REF!</v>
      </c>
      <c r="CW111" t="e">
        <f>AND(#REF!,"AAAAAHV3/WQ=")</f>
        <v>#REF!</v>
      </c>
      <c r="CX111" t="e">
        <f>IF(#REF!,"AAAAAHV3/WU=",0)</f>
        <v>#REF!</v>
      </c>
      <c r="CY111" t="e">
        <f>AND(#REF!,"AAAAAHV3/WY=")</f>
        <v>#REF!</v>
      </c>
      <c r="CZ111" t="e">
        <f>AND(#REF!,"AAAAAHV3/Wc=")</f>
        <v>#REF!</v>
      </c>
      <c r="DA111" t="e">
        <f>AND(#REF!,"AAAAAHV3/Wg=")</f>
        <v>#REF!</v>
      </c>
      <c r="DB111" t="e">
        <f>AND(#REF!,"AAAAAHV3/Wk=")</f>
        <v>#REF!</v>
      </c>
      <c r="DC111" t="e">
        <f>AND(#REF!,"AAAAAHV3/Wo=")</f>
        <v>#REF!</v>
      </c>
      <c r="DD111" t="e">
        <f>AND(#REF!,"AAAAAHV3/Ws=")</f>
        <v>#REF!</v>
      </c>
      <c r="DE111" t="e">
        <f>IF(#REF!,"AAAAAHV3/Ww=",0)</f>
        <v>#REF!</v>
      </c>
      <c r="DF111" t="e">
        <f>AND(#REF!,"AAAAAHV3/W0=")</f>
        <v>#REF!</v>
      </c>
      <c r="DG111" t="e">
        <f>AND(#REF!,"AAAAAHV3/W4=")</f>
        <v>#REF!</v>
      </c>
      <c r="DH111" t="e">
        <f>AND(#REF!,"AAAAAHV3/W8=")</f>
        <v>#REF!</v>
      </c>
      <c r="DI111" t="e">
        <f>AND(#REF!,"AAAAAHV3/XA=")</f>
        <v>#REF!</v>
      </c>
      <c r="DJ111" t="e">
        <f>AND(#REF!,"AAAAAHV3/XE=")</f>
        <v>#REF!</v>
      </c>
      <c r="DK111" t="e">
        <f>AND(#REF!,"AAAAAHV3/XI=")</f>
        <v>#REF!</v>
      </c>
      <c r="DL111" t="e">
        <f>IF(#REF!,"AAAAAHV3/XM=",0)</f>
        <v>#REF!</v>
      </c>
      <c r="DM111" t="e">
        <f>AND(#REF!,"AAAAAHV3/XQ=")</f>
        <v>#REF!</v>
      </c>
      <c r="DN111" t="e">
        <f>AND(#REF!,"AAAAAHV3/XU=")</f>
        <v>#REF!</v>
      </c>
      <c r="DO111" t="e">
        <f>AND(#REF!,"AAAAAHV3/XY=")</f>
        <v>#REF!</v>
      </c>
      <c r="DP111" t="e">
        <f>AND(#REF!,"AAAAAHV3/Xc=")</f>
        <v>#REF!</v>
      </c>
      <c r="DQ111" t="e">
        <f>AND(#REF!,"AAAAAHV3/Xg=")</f>
        <v>#REF!</v>
      </c>
      <c r="DR111" t="e">
        <f>AND(#REF!,"AAAAAHV3/Xk=")</f>
        <v>#REF!</v>
      </c>
      <c r="DS111" t="e">
        <f>IF(#REF!,"AAAAAHV3/Xo=",0)</f>
        <v>#REF!</v>
      </c>
      <c r="DT111" t="e">
        <f>AND(#REF!,"AAAAAHV3/Xs=")</f>
        <v>#REF!</v>
      </c>
      <c r="DU111" t="e">
        <f>AND(#REF!,"AAAAAHV3/Xw=")</f>
        <v>#REF!</v>
      </c>
      <c r="DV111" t="e">
        <f>AND(#REF!,"AAAAAHV3/X0=")</f>
        <v>#REF!</v>
      </c>
      <c r="DW111" t="e">
        <f>AND(#REF!,"AAAAAHV3/X4=")</f>
        <v>#REF!</v>
      </c>
      <c r="DX111" t="e">
        <f>AND(#REF!,"AAAAAHV3/X8=")</f>
        <v>#REF!</v>
      </c>
      <c r="DY111" t="e">
        <f>AND(#REF!,"AAAAAHV3/YA=")</f>
        <v>#REF!</v>
      </c>
      <c r="DZ111" t="e">
        <f>IF(#REF!,"AAAAAHV3/YE=",0)</f>
        <v>#REF!</v>
      </c>
      <c r="EA111" t="e">
        <f>AND(#REF!,"AAAAAHV3/YI=")</f>
        <v>#REF!</v>
      </c>
      <c r="EB111" t="e">
        <f>AND(#REF!,"AAAAAHV3/YM=")</f>
        <v>#REF!</v>
      </c>
      <c r="EC111" t="e">
        <f>AND(#REF!,"AAAAAHV3/YQ=")</f>
        <v>#REF!</v>
      </c>
      <c r="ED111" t="e">
        <f>AND(#REF!,"AAAAAHV3/YU=")</f>
        <v>#REF!</v>
      </c>
      <c r="EE111" t="e">
        <f>AND(#REF!,"AAAAAHV3/YY=")</f>
        <v>#REF!</v>
      </c>
      <c r="EF111" t="e">
        <f>AND(#REF!,"AAAAAHV3/Yc=")</f>
        <v>#REF!</v>
      </c>
      <c r="EG111" t="e">
        <f>IF(#REF!,"AAAAAHV3/Yg=",0)</f>
        <v>#REF!</v>
      </c>
      <c r="EH111" t="e">
        <f>AND(#REF!,"AAAAAHV3/Yk=")</f>
        <v>#REF!</v>
      </c>
      <c r="EI111" t="e">
        <f>AND(#REF!,"AAAAAHV3/Yo=")</f>
        <v>#REF!</v>
      </c>
      <c r="EJ111" t="e">
        <f>AND(#REF!,"AAAAAHV3/Ys=")</f>
        <v>#REF!</v>
      </c>
      <c r="EK111" t="e">
        <f>AND(#REF!,"AAAAAHV3/Yw=")</f>
        <v>#REF!</v>
      </c>
      <c r="EL111" t="e">
        <f>AND(#REF!,"AAAAAHV3/Y0=")</f>
        <v>#REF!</v>
      </c>
      <c r="EM111" t="e">
        <f>AND(#REF!,"AAAAAHV3/Y4=")</f>
        <v>#REF!</v>
      </c>
      <c r="EN111" t="e">
        <f>IF(#REF!,"AAAAAHV3/Y8=",0)</f>
        <v>#REF!</v>
      </c>
      <c r="EO111" t="e">
        <f>AND(#REF!,"AAAAAHV3/ZA=")</f>
        <v>#REF!</v>
      </c>
      <c r="EP111" t="e">
        <f>AND(#REF!,"AAAAAHV3/ZE=")</f>
        <v>#REF!</v>
      </c>
      <c r="EQ111" t="e">
        <f>AND(#REF!,"AAAAAHV3/ZI=")</f>
        <v>#REF!</v>
      </c>
      <c r="ER111" t="e">
        <f>AND(#REF!,"AAAAAHV3/ZM=")</f>
        <v>#REF!</v>
      </c>
      <c r="ES111" t="e">
        <f>AND(#REF!,"AAAAAHV3/ZQ=")</f>
        <v>#REF!</v>
      </c>
      <c r="ET111" t="e">
        <f>AND(#REF!,"AAAAAHV3/ZU=")</f>
        <v>#REF!</v>
      </c>
      <c r="EU111" t="e">
        <f>IF(#REF!,"AAAAAHV3/ZY=",0)</f>
        <v>#REF!</v>
      </c>
      <c r="EV111" t="e">
        <f>AND(#REF!,"AAAAAHV3/Zc=")</f>
        <v>#REF!</v>
      </c>
      <c r="EW111" t="e">
        <f>AND(#REF!,"AAAAAHV3/Zg=")</f>
        <v>#REF!</v>
      </c>
      <c r="EX111" t="e">
        <f>AND(#REF!,"AAAAAHV3/Zk=")</f>
        <v>#REF!</v>
      </c>
      <c r="EY111" t="e">
        <f>AND(#REF!,"AAAAAHV3/Zo=")</f>
        <v>#REF!</v>
      </c>
      <c r="EZ111" t="e">
        <f>AND(#REF!,"AAAAAHV3/Zs=")</f>
        <v>#REF!</v>
      </c>
      <c r="FA111" t="e">
        <f>AND(#REF!,"AAAAAHV3/Zw=")</f>
        <v>#REF!</v>
      </c>
      <c r="FB111" t="e">
        <f>IF(#REF!,"AAAAAHV3/Z0=",0)</f>
        <v>#REF!</v>
      </c>
      <c r="FC111" t="e">
        <f>AND(#REF!,"AAAAAHV3/Z4=")</f>
        <v>#REF!</v>
      </c>
      <c r="FD111" t="e">
        <f>AND(#REF!,"AAAAAHV3/Z8=")</f>
        <v>#REF!</v>
      </c>
      <c r="FE111" t="e">
        <f>AND(#REF!,"AAAAAHV3/aA=")</f>
        <v>#REF!</v>
      </c>
      <c r="FF111" t="e">
        <f>AND(#REF!,"AAAAAHV3/aE=")</f>
        <v>#REF!</v>
      </c>
      <c r="FG111" t="e">
        <f>AND(#REF!,"AAAAAHV3/aI=")</f>
        <v>#REF!</v>
      </c>
      <c r="FH111" t="e">
        <f>AND(#REF!,"AAAAAHV3/aM=")</f>
        <v>#REF!</v>
      </c>
      <c r="FI111" t="e">
        <f>IF(#REF!,"AAAAAHV3/aQ=",0)</f>
        <v>#REF!</v>
      </c>
      <c r="FJ111" t="e">
        <f>AND(#REF!,"AAAAAHV3/aU=")</f>
        <v>#REF!</v>
      </c>
      <c r="FK111" t="e">
        <f>AND(#REF!,"AAAAAHV3/aY=")</f>
        <v>#REF!</v>
      </c>
      <c r="FL111" t="e">
        <f>AND(#REF!,"AAAAAHV3/ac=")</f>
        <v>#REF!</v>
      </c>
      <c r="FM111" t="e">
        <f>AND(#REF!,"AAAAAHV3/ag=")</f>
        <v>#REF!</v>
      </c>
      <c r="FN111" t="e">
        <f>AND(#REF!,"AAAAAHV3/ak=")</f>
        <v>#REF!</v>
      </c>
      <c r="FO111" t="e">
        <f>AND(#REF!,"AAAAAHV3/ao=")</f>
        <v>#REF!</v>
      </c>
      <c r="FP111" t="e">
        <f>IF(#REF!,"AAAAAHV3/as=",0)</f>
        <v>#REF!</v>
      </c>
      <c r="FQ111" t="e">
        <f>AND(#REF!,"AAAAAHV3/aw=")</f>
        <v>#REF!</v>
      </c>
      <c r="FR111" t="e">
        <f>AND(#REF!,"AAAAAHV3/a0=")</f>
        <v>#REF!</v>
      </c>
      <c r="FS111" t="e">
        <f>AND(#REF!,"AAAAAHV3/a4=")</f>
        <v>#REF!</v>
      </c>
      <c r="FT111" t="e">
        <f>AND(#REF!,"AAAAAHV3/a8=")</f>
        <v>#REF!</v>
      </c>
      <c r="FU111" t="e">
        <f>AND(#REF!,"AAAAAHV3/bA=")</f>
        <v>#REF!</v>
      </c>
      <c r="FV111" t="e">
        <f>AND(#REF!,"AAAAAHV3/bE=")</f>
        <v>#REF!</v>
      </c>
      <c r="FW111" t="e">
        <f>IF(#REF!,"AAAAAHV3/bI=",0)</f>
        <v>#REF!</v>
      </c>
      <c r="FX111" t="e">
        <f>AND(#REF!,"AAAAAHV3/bM=")</f>
        <v>#REF!</v>
      </c>
      <c r="FY111" t="e">
        <f>AND(#REF!,"AAAAAHV3/bQ=")</f>
        <v>#REF!</v>
      </c>
      <c r="FZ111" t="e">
        <f>AND(#REF!,"AAAAAHV3/bU=")</f>
        <v>#REF!</v>
      </c>
      <c r="GA111" t="e">
        <f>AND(#REF!,"AAAAAHV3/bY=")</f>
        <v>#REF!</v>
      </c>
      <c r="GB111" t="e">
        <f>AND(#REF!,"AAAAAHV3/bc=")</f>
        <v>#REF!</v>
      </c>
      <c r="GC111" t="e">
        <f>AND(#REF!,"AAAAAHV3/bg=")</f>
        <v>#REF!</v>
      </c>
      <c r="GD111" t="e">
        <f>IF(#REF!,"AAAAAHV3/bk=",0)</f>
        <v>#REF!</v>
      </c>
      <c r="GE111" t="e">
        <f>AND(#REF!,"AAAAAHV3/bo=")</f>
        <v>#REF!</v>
      </c>
      <c r="GF111" t="e">
        <f>AND(#REF!,"AAAAAHV3/bs=")</f>
        <v>#REF!</v>
      </c>
      <c r="GG111" t="e">
        <f>AND(#REF!,"AAAAAHV3/bw=")</f>
        <v>#REF!</v>
      </c>
      <c r="GH111" t="e">
        <f>AND(#REF!,"AAAAAHV3/b0=")</f>
        <v>#REF!</v>
      </c>
      <c r="GI111" t="e">
        <f>AND(#REF!,"AAAAAHV3/b4=")</f>
        <v>#REF!</v>
      </c>
      <c r="GJ111" t="e">
        <f>AND(#REF!,"AAAAAHV3/b8=")</f>
        <v>#REF!</v>
      </c>
      <c r="GK111" t="e">
        <f>IF(#REF!,"AAAAAHV3/cA=",0)</f>
        <v>#REF!</v>
      </c>
      <c r="GL111" t="e">
        <f>AND(#REF!,"AAAAAHV3/cE=")</f>
        <v>#REF!</v>
      </c>
      <c r="GM111" t="e">
        <f>AND(#REF!,"AAAAAHV3/cI=")</f>
        <v>#REF!</v>
      </c>
      <c r="GN111" t="e">
        <f>AND(#REF!,"AAAAAHV3/cM=")</f>
        <v>#REF!</v>
      </c>
      <c r="GO111" t="e">
        <f>AND(#REF!,"AAAAAHV3/cQ=")</f>
        <v>#REF!</v>
      </c>
      <c r="GP111" t="e">
        <f>AND(#REF!,"AAAAAHV3/cU=")</f>
        <v>#REF!</v>
      </c>
      <c r="GQ111" t="e">
        <f>AND(#REF!,"AAAAAHV3/cY=")</f>
        <v>#REF!</v>
      </c>
      <c r="GR111" t="e">
        <f>IF(#REF!,"AAAAAHV3/cc=",0)</f>
        <v>#REF!</v>
      </c>
      <c r="GS111" t="e">
        <f>AND(#REF!,"AAAAAHV3/cg=")</f>
        <v>#REF!</v>
      </c>
      <c r="GT111" t="e">
        <f>AND(#REF!,"AAAAAHV3/ck=")</f>
        <v>#REF!</v>
      </c>
      <c r="GU111" t="e">
        <f>AND(#REF!,"AAAAAHV3/co=")</f>
        <v>#REF!</v>
      </c>
      <c r="GV111" t="e">
        <f>AND(#REF!,"AAAAAHV3/cs=")</f>
        <v>#REF!</v>
      </c>
      <c r="GW111" t="e">
        <f>AND(#REF!,"AAAAAHV3/cw=")</f>
        <v>#REF!</v>
      </c>
      <c r="GX111" t="e">
        <f>AND(#REF!,"AAAAAHV3/c0=")</f>
        <v>#REF!</v>
      </c>
      <c r="GY111" t="e">
        <f>IF(#REF!,"AAAAAHV3/c4=",0)</f>
        <v>#REF!</v>
      </c>
      <c r="GZ111" t="e">
        <f>AND(#REF!,"AAAAAHV3/c8=")</f>
        <v>#REF!</v>
      </c>
      <c r="HA111" t="e">
        <f>AND(#REF!,"AAAAAHV3/dA=")</f>
        <v>#REF!</v>
      </c>
      <c r="HB111" t="e">
        <f>AND(#REF!,"AAAAAHV3/dE=")</f>
        <v>#REF!</v>
      </c>
      <c r="HC111" t="e">
        <f>AND(#REF!,"AAAAAHV3/dI=")</f>
        <v>#REF!</v>
      </c>
      <c r="HD111" t="e">
        <f>AND(#REF!,"AAAAAHV3/dM=")</f>
        <v>#REF!</v>
      </c>
      <c r="HE111" t="e">
        <f>AND(#REF!,"AAAAAHV3/dQ=")</f>
        <v>#REF!</v>
      </c>
      <c r="HF111" t="e">
        <f>IF(#REF!,"AAAAAHV3/dU=",0)</f>
        <v>#REF!</v>
      </c>
      <c r="HG111" t="e">
        <f>AND(#REF!,"AAAAAHV3/dY=")</f>
        <v>#REF!</v>
      </c>
      <c r="HH111" t="e">
        <f>AND(#REF!,"AAAAAHV3/dc=")</f>
        <v>#REF!</v>
      </c>
      <c r="HI111" t="e">
        <f>AND(#REF!,"AAAAAHV3/dg=")</f>
        <v>#REF!</v>
      </c>
      <c r="HJ111" t="e">
        <f>AND(#REF!,"AAAAAHV3/dk=")</f>
        <v>#REF!</v>
      </c>
      <c r="HK111" t="e">
        <f>AND(#REF!,"AAAAAHV3/do=")</f>
        <v>#REF!</v>
      </c>
      <c r="HL111" t="e">
        <f>AND(#REF!,"AAAAAHV3/ds=")</f>
        <v>#REF!</v>
      </c>
      <c r="HM111" t="e">
        <f>IF(#REF!,"AAAAAHV3/dw=",0)</f>
        <v>#REF!</v>
      </c>
      <c r="HN111" t="e">
        <f>AND(#REF!,"AAAAAHV3/d0=")</f>
        <v>#REF!</v>
      </c>
      <c r="HO111" t="e">
        <f>AND(#REF!,"AAAAAHV3/d4=")</f>
        <v>#REF!</v>
      </c>
      <c r="HP111" t="e">
        <f>AND(#REF!,"AAAAAHV3/d8=")</f>
        <v>#REF!</v>
      </c>
      <c r="HQ111" t="e">
        <f>AND(#REF!,"AAAAAHV3/eA=")</f>
        <v>#REF!</v>
      </c>
      <c r="HR111" t="e">
        <f>AND(#REF!,"AAAAAHV3/eE=")</f>
        <v>#REF!</v>
      </c>
      <c r="HS111" t="e">
        <f>AND(#REF!,"AAAAAHV3/eI=")</f>
        <v>#REF!</v>
      </c>
      <c r="HT111" t="e">
        <f>IF(#REF!,"AAAAAHV3/eM=",0)</f>
        <v>#REF!</v>
      </c>
      <c r="HU111" t="e">
        <f>AND(#REF!,"AAAAAHV3/eQ=")</f>
        <v>#REF!</v>
      </c>
      <c r="HV111" t="e">
        <f>AND(#REF!,"AAAAAHV3/eU=")</f>
        <v>#REF!</v>
      </c>
      <c r="HW111" t="e">
        <f>AND(#REF!,"AAAAAHV3/eY=")</f>
        <v>#REF!</v>
      </c>
      <c r="HX111" t="e">
        <f>AND(#REF!,"AAAAAHV3/ec=")</f>
        <v>#REF!</v>
      </c>
      <c r="HY111" t="e">
        <f>AND(#REF!,"AAAAAHV3/eg=")</f>
        <v>#REF!</v>
      </c>
      <c r="HZ111" t="e">
        <f>AND(#REF!,"AAAAAHV3/ek=")</f>
        <v>#REF!</v>
      </c>
      <c r="IA111" t="e">
        <f>IF(#REF!,"AAAAAHV3/eo=",0)</f>
        <v>#REF!</v>
      </c>
      <c r="IB111" t="e">
        <f>AND(#REF!,"AAAAAHV3/es=")</f>
        <v>#REF!</v>
      </c>
      <c r="IC111" t="e">
        <f>AND(#REF!,"AAAAAHV3/ew=")</f>
        <v>#REF!</v>
      </c>
      <c r="ID111" t="e">
        <f>AND(#REF!,"AAAAAHV3/e0=")</f>
        <v>#REF!</v>
      </c>
      <c r="IE111" t="e">
        <f>AND(#REF!,"AAAAAHV3/e4=")</f>
        <v>#REF!</v>
      </c>
      <c r="IF111" t="e">
        <f>AND(#REF!,"AAAAAHV3/e8=")</f>
        <v>#REF!</v>
      </c>
      <c r="IG111" t="e">
        <f>AND(#REF!,"AAAAAHV3/fA=")</f>
        <v>#REF!</v>
      </c>
      <c r="IH111" t="e">
        <f>IF(#REF!,"AAAAAHV3/fE=",0)</f>
        <v>#REF!</v>
      </c>
      <c r="II111" t="e">
        <f>AND(#REF!,"AAAAAHV3/fI=")</f>
        <v>#REF!</v>
      </c>
      <c r="IJ111" t="e">
        <f>AND(#REF!,"AAAAAHV3/fM=")</f>
        <v>#REF!</v>
      </c>
      <c r="IK111" t="e">
        <f>AND(#REF!,"AAAAAHV3/fQ=")</f>
        <v>#REF!</v>
      </c>
      <c r="IL111" t="e">
        <f>AND(#REF!,"AAAAAHV3/fU=")</f>
        <v>#REF!</v>
      </c>
      <c r="IM111" t="e">
        <f>AND(#REF!,"AAAAAHV3/fY=")</f>
        <v>#REF!</v>
      </c>
      <c r="IN111" t="e">
        <f>AND(#REF!,"AAAAAHV3/fc=")</f>
        <v>#REF!</v>
      </c>
      <c r="IO111" t="e">
        <f>IF(#REF!,"AAAAAHV3/fg=",0)</f>
        <v>#REF!</v>
      </c>
      <c r="IP111" t="e">
        <f>AND(#REF!,"AAAAAHV3/fk=")</f>
        <v>#REF!</v>
      </c>
      <c r="IQ111" t="e">
        <f>AND(#REF!,"AAAAAHV3/fo=")</f>
        <v>#REF!</v>
      </c>
      <c r="IR111" t="e">
        <f>AND(#REF!,"AAAAAHV3/fs=")</f>
        <v>#REF!</v>
      </c>
      <c r="IS111" t="e">
        <f>AND(#REF!,"AAAAAHV3/fw=")</f>
        <v>#REF!</v>
      </c>
      <c r="IT111" t="e">
        <f>AND(#REF!,"AAAAAHV3/f0=")</f>
        <v>#REF!</v>
      </c>
      <c r="IU111" t="e">
        <f>AND(#REF!,"AAAAAHV3/f4=")</f>
        <v>#REF!</v>
      </c>
      <c r="IV111" t="e">
        <f>IF(#REF!,"AAAAAHV3/f8=",0)</f>
        <v>#REF!</v>
      </c>
    </row>
    <row r="112" spans="1:256" x14ac:dyDescent="0.15">
      <c r="A112" t="e">
        <f>AND(#REF!,"AAAAAHezpwA=")</f>
        <v>#REF!</v>
      </c>
      <c r="B112" t="e">
        <f>AND(#REF!,"AAAAAHezpwE=")</f>
        <v>#REF!</v>
      </c>
      <c r="C112" t="e">
        <f>AND(#REF!,"AAAAAHezpwI=")</f>
        <v>#REF!</v>
      </c>
      <c r="D112" t="e">
        <f>AND(#REF!,"AAAAAHezpwM=")</f>
        <v>#REF!</v>
      </c>
      <c r="E112" t="e">
        <f>AND(#REF!,"AAAAAHezpwQ=")</f>
        <v>#REF!</v>
      </c>
      <c r="F112" t="e">
        <f>AND(#REF!,"AAAAAHezpwU=")</f>
        <v>#REF!</v>
      </c>
      <c r="G112" t="e">
        <f>IF(#REF!,"AAAAAHezpwY=",0)</f>
        <v>#REF!</v>
      </c>
      <c r="H112" t="e">
        <f>AND(#REF!,"AAAAAHezpwc=")</f>
        <v>#REF!</v>
      </c>
      <c r="I112" t="e">
        <f>AND(#REF!,"AAAAAHezpwg=")</f>
        <v>#REF!</v>
      </c>
      <c r="J112" t="e">
        <f>AND(#REF!,"AAAAAHezpwk=")</f>
        <v>#REF!</v>
      </c>
      <c r="K112" t="e">
        <f>AND(#REF!,"AAAAAHezpwo=")</f>
        <v>#REF!</v>
      </c>
      <c r="L112" t="e">
        <f>AND(#REF!,"AAAAAHezpws=")</f>
        <v>#REF!</v>
      </c>
      <c r="M112" t="e">
        <f>AND(#REF!,"AAAAAHezpww=")</f>
        <v>#REF!</v>
      </c>
      <c r="N112" t="e">
        <f>IF(#REF!,"AAAAAHezpw0=",0)</f>
        <v>#REF!</v>
      </c>
      <c r="O112" t="e">
        <f>AND(#REF!,"AAAAAHezpw4=")</f>
        <v>#REF!</v>
      </c>
      <c r="P112" t="e">
        <f>AND(#REF!,"AAAAAHezpw8=")</f>
        <v>#REF!</v>
      </c>
      <c r="Q112" t="e">
        <f>AND(#REF!,"AAAAAHezpxA=")</f>
        <v>#REF!</v>
      </c>
      <c r="R112" t="e">
        <f>AND(#REF!,"AAAAAHezpxE=")</f>
        <v>#REF!</v>
      </c>
      <c r="S112" t="e">
        <f>AND(#REF!,"AAAAAHezpxI=")</f>
        <v>#REF!</v>
      </c>
      <c r="T112" t="e">
        <f>AND(#REF!,"AAAAAHezpxM=")</f>
        <v>#REF!</v>
      </c>
      <c r="U112" t="e">
        <f>IF(#REF!,"AAAAAHezpxQ=",0)</f>
        <v>#REF!</v>
      </c>
      <c r="V112" t="e">
        <f>AND(#REF!,"AAAAAHezpxU=")</f>
        <v>#REF!</v>
      </c>
      <c r="W112" t="e">
        <f>AND(#REF!,"AAAAAHezpxY=")</f>
        <v>#REF!</v>
      </c>
      <c r="X112" t="e">
        <f>AND(#REF!,"AAAAAHezpxc=")</f>
        <v>#REF!</v>
      </c>
      <c r="Y112" t="e">
        <f>AND(#REF!,"AAAAAHezpxg=")</f>
        <v>#REF!</v>
      </c>
      <c r="Z112" t="e">
        <f>AND(#REF!,"AAAAAHezpxk=")</f>
        <v>#REF!</v>
      </c>
      <c r="AA112" t="e">
        <f>AND(#REF!,"AAAAAHezpxo=")</f>
        <v>#REF!</v>
      </c>
      <c r="AB112" t="e">
        <f>IF(#REF!,"AAAAAHezpxs=",0)</f>
        <v>#REF!</v>
      </c>
      <c r="AC112" t="e">
        <f>AND(#REF!,"AAAAAHezpxw=")</f>
        <v>#REF!</v>
      </c>
      <c r="AD112" t="e">
        <f>AND(#REF!,"AAAAAHezpx0=")</f>
        <v>#REF!</v>
      </c>
      <c r="AE112" t="e">
        <f>AND(#REF!,"AAAAAHezpx4=")</f>
        <v>#REF!</v>
      </c>
      <c r="AF112" t="e">
        <f>AND(#REF!,"AAAAAHezpx8=")</f>
        <v>#REF!</v>
      </c>
      <c r="AG112" t="e">
        <f>AND(#REF!,"AAAAAHezpyA=")</f>
        <v>#REF!</v>
      </c>
      <c r="AH112" t="e">
        <f>AND(#REF!,"AAAAAHezpyE=")</f>
        <v>#REF!</v>
      </c>
      <c r="AI112" t="e">
        <f>IF(#REF!,"AAAAAHezpyI=",0)</f>
        <v>#REF!</v>
      </c>
      <c r="AJ112" t="e">
        <f>AND(#REF!,"AAAAAHezpyM=")</f>
        <v>#REF!</v>
      </c>
      <c r="AK112" t="e">
        <f>AND(#REF!,"AAAAAHezpyQ=")</f>
        <v>#REF!</v>
      </c>
      <c r="AL112" t="e">
        <f>AND(#REF!,"AAAAAHezpyU=")</f>
        <v>#REF!</v>
      </c>
      <c r="AM112" t="e">
        <f>AND(#REF!,"AAAAAHezpyY=")</f>
        <v>#REF!</v>
      </c>
      <c r="AN112" t="e">
        <f>AND(#REF!,"AAAAAHezpyc=")</f>
        <v>#REF!</v>
      </c>
      <c r="AO112" t="e">
        <f>AND(#REF!,"AAAAAHezpyg=")</f>
        <v>#REF!</v>
      </c>
      <c r="AP112" t="e">
        <f>IF(#REF!,"AAAAAHezpyk=",0)</f>
        <v>#REF!</v>
      </c>
      <c r="AQ112" t="e">
        <f>AND(#REF!,"AAAAAHezpyo=")</f>
        <v>#REF!</v>
      </c>
      <c r="AR112" t="e">
        <f>AND(#REF!,"AAAAAHezpys=")</f>
        <v>#REF!</v>
      </c>
      <c r="AS112" t="e">
        <f>AND(#REF!,"AAAAAHezpyw=")</f>
        <v>#REF!</v>
      </c>
      <c r="AT112" t="e">
        <f>AND(#REF!,"AAAAAHezpy0=")</f>
        <v>#REF!</v>
      </c>
      <c r="AU112" t="e">
        <f>AND(#REF!,"AAAAAHezpy4=")</f>
        <v>#REF!</v>
      </c>
      <c r="AV112" t="e">
        <f>AND(#REF!,"AAAAAHezpy8=")</f>
        <v>#REF!</v>
      </c>
      <c r="AW112" t="e">
        <f>IF(#REF!,"AAAAAHezpzA=",0)</f>
        <v>#REF!</v>
      </c>
      <c r="AX112" t="e">
        <f>AND(#REF!,"AAAAAHezpzE=")</f>
        <v>#REF!</v>
      </c>
      <c r="AY112" t="e">
        <f>AND(#REF!,"AAAAAHezpzI=")</f>
        <v>#REF!</v>
      </c>
      <c r="AZ112" t="e">
        <f>AND(#REF!,"AAAAAHezpzM=")</f>
        <v>#REF!</v>
      </c>
      <c r="BA112" t="e">
        <f>AND(#REF!,"AAAAAHezpzQ=")</f>
        <v>#REF!</v>
      </c>
      <c r="BB112" t="e">
        <f>AND(#REF!,"AAAAAHezpzU=")</f>
        <v>#REF!</v>
      </c>
      <c r="BC112" t="e">
        <f>AND(#REF!,"AAAAAHezpzY=")</f>
        <v>#REF!</v>
      </c>
      <c r="BD112" t="e">
        <f>IF(#REF!,"AAAAAHezpzc=",0)</f>
        <v>#REF!</v>
      </c>
      <c r="BE112" t="e">
        <f>AND(#REF!,"AAAAAHezpzg=")</f>
        <v>#REF!</v>
      </c>
      <c r="BF112" t="e">
        <f>AND(#REF!,"AAAAAHezpzk=")</f>
        <v>#REF!</v>
      </c>
      <c r="BG112" t="e">
        <f>AND(#REF!,"AAAAAHezpzo=")</f>
        <v>#REF!</v>
      </c>
      <c r="BH112" t="e">
        <f>AND(#REF!,"AAAAAHezpzs=")</f>
        <v>#REF!</v>
      </c>
      <c r="BI112" t="e">
        <f>AND(#REF!,"AAAAAHezpzw=")</f>
        <v>#REF!</v>
      </c>
      <c r="BJ112" t="e">
        <f>AND(#REF!,"AAAAAHezpz0=")</f>
        <v>#REF!</v>
      </c>
      <c r="BK112" t="e">
        <f>IF(#REF!,"AAAAAHezpz4=",0)</f>
        <v>#REF!</v>
      </c>
      <c r="BL112" t="e">
        <f>AND(#REF!,"AAAAAHezpz8=")</f>
        <v>#REF!</v>
      </c>
      <c r="BM112" t="e">
        <f>AND(#REF!,"AAAAAHezp0A=")</f>
        <v>#REF!</v>
      </c>
      <c r="BN112" t="e">
        <f>AND(#REF!,"AAAAAHezp0E=")</f>
        <v>#REF!</v>
      </c>
      <c r="BO112" t="e">
        <f>AND(#REF!,"AAAAAHezp0I=")</f>
        <v>#REF!</v>
      </c>
      <c r="BP112" t="e">
        <f>AND(#REF!,"AAAAAHezp0M=")</f>
        <v>#REF!</v>
      </c>
      <c r="BQ112" t="e">
        <f>AND(#REF!,"AAAAAHezp0Q=")</f>
        <v>#REF!</v>
      </c>
      <c r="BR112" t="e">
        <f>IF(#REF!,"AAAAAHezp0U=",0)</f>
        <v>#REF!</v>
      </c>
      <c r="BS112" t="e">
        <f>AND(#REF!,"AAAAAHezp0Y=")</f>
        <v>#REF!</v>
      </c>
      <c r="BT112" t="e">
        <f>AND(#REF!,"AAAAAHezp0c=")</f>
        <v>#REF!</v>
      </c>
      <c r="BU112" t="e">
        <f>AND(#REF!,"AAAAAHezp0g=")</f>
        <v>#REF!</v>
      </c>
      <c r="BV112" t="e">
        <f>AND(#REF!,"AAAAAHezp0k=")</f>
        <v>#REF!</v>
      </c>
      <c r="BW112" t="e">
        <f>AND(#REF!,"AAAAAHezp0o=")</f>
        <v>#REF!</v>
      </c>
      <c r="BX112" t="e">
        <f>AND(#REF!,"AAAAAHezp0s=")</f>
        <v>#REF!</v>
      </c>
      <c r="BY112" t="e">
        <f>IF(#REF!,"AAAAAHezp0w=",0)</f>
        <v>#REF!</v>
      </c>
      <c r="BZ112" t="e">
        <f>AND(#REF!,"AAAAAHezp00=")</f>
        <v>#REF!</v>
      </c>
      <c r="CA112" t="e">
        <f>AND(#REF!,"AAAAAHezp04=")</f>
        <v>#REF!</v>
      </c>
      <c r="CB112" t="e">
        <f>AND(#REF!,"AAAAAHezp08=")</f>
        <v>#REF!</v>
      </c>
      <c r="CC112" t="e">
        <f>AND(#REF!,"AAAAAHezp1A=")</f>
        <v>#REF!</v>
      </c>
      <c r="CD112" t="e">
        <f>AND(#REF!,"AAAAAHezp1E=")</f>
        <v>#REF!</v>
      </c>
      <c r="CE112" t="e">
        <f>AND(#REF!,"AAAAAHezp1I=")</f>
        <v>#REF!</v>
      </c>
      <c r="CF112" t="e">
        <f>IF(#REF!,"AAAAAHezp1M=",0)</f>
        <v>#REF!</v>
      </c>
      <c r="CG112" t="e">
        <f>AND(#REF!,"AAAAAHezp1Q=")</f>
        <v>#REF!</v>
      </c>
      <c r="CH112" t="e">
        <f>AND(#REF!,"AAAAAHezp1U=")</f>
        <v>#REF!</v>
      </c>
      <c r="CI112" t="e">
        <f>AND(#REF!,"AAAAAHezp1Y=")</f>
        <v>#REF!</v>
      </c>
      <c r="CJ112" t="e">
        <f>AND(#REF!,"AAAAAHezp1c=")</f>
        <v>#REF!</v>
      </c>
      <c r="CK112" t="e">
        <f>AND(#REF!,"AAAAAHezp1g=")</f>
        <v>#REF!</v>
      </c>
      <c r="CL112" t="e">
        <f>AND(#REF!,"AAAAAHezp1k=")</f>
        <v>#REF!</v>
      </c>
      <c r="CM112" t="e">
        <f>IF(#REF!,"AAAAAHezp1o=",0)</f>
        <v>#REF!</v>
      </c>
      <c r="CN112" t="e">
        <f>AND(#REF!,"AAAAAHezp1s=")</f>
        <v>#REF!</v>
      </c>
      <c r="CO112" t="e">
        <f>AND(#REF!,"AAAAAHezp1w=")</f>
        <v>#REF!</v>
      </c>
      <c r="CP112" t="e">
        <f>AND(#REF!,"AAAAAHezp10=")</f>
        <v>#REF!</v>
      </c>
      <c r="CQ112" t="e">
        <f>AND(#REF!,"AAAAAHezp14=")</f>
        <v>#REF!</v>
      </c>
      <c r="CR112" t="e">
        <f>AND(#REF!,"AAAAAHezp18=")</f>
        <v>#REF!</v>
      </c>
      <c r="CS112" t="e">
        <f>AND(#REF!,"AAAAAHezp2A=")</f>
        <v>#REF!</v>
      </c>
      <c r="CT112" t="e">
        <f>IF(#REF!,"AAAAAHezp2E=",0)</f>
        <v>#REF!</v>
      </c>
      <c r="CU112" t="e">
        <f>AND(#REF!,"AAAAAHezp2I=")</f>
        <v>#REF!</v>
      </c>
      <c r="CV112" t="e">
        <f>AND(#REF!,"AAAAAHezp2M=")</f>
        <v>#REF!</v>
      </c>
      <c r="CW112" t="e">
        <f>AND(#REF!,"AAAAAHezp2Q=")</f>
        <v>#REF!</v>
      </c>
      <c r="CX112" t="e">
        <f>AND(#REF!,"AAAAAHezp2U=")</f>
        <v>#REF!</v>
      </c>
      <c r="CY112" t="e">
        <f>AND(#REF!,"AAAAAHezp2Y=")</f>
        <v>#REF!</v>
      </c>
      <c r="CZ112" t="e">
        <f>AND(#REF!,"AAAAAHezp2c=")</f>
        <v>#REF!</v>
      </c>
      <c r="DA112" t="e">
        <f>IF(#REF!,"AAAAAHezp2g=",0)</f>
        <v>#REF!</v>
      </c>
      <c r="DB112" t="e">
        <f>AND(#REF!,"AAAAAHezp2k=")</f>
        <v>#REF!</v>
      </c>
      <c r="DC112" t="e">
        <f>AND(#REF!,"AAAAAHezp2o=")</f>
        <v>#REF!</v>
      </c>
      <c r="DD112" t="e">
        <f>AND(#REF!,"AAAAAHezp2s=")</f>
        <v>#REF!</v>
      </c>
      <c r="DE112" t="e">
        <f>AND(#REF!,"AAAAAHezp2w=")</f>
        <v>#REF!</v>
      </c>
      <c r="DF112" t="e">
        <f>AND(#REF!,"AAAAAHezp20=")</f>
        <v>#REF!</v>
      </c>
      <c r="DG112" t="e">
        <f>AND(#REF!,"AAAAAHezp24=")</f>
        <v>#REF!</v>
      </c>
      <c r="DH112" t="e">
        <f>IF(#REF!,"AAAAAHezp28=",0)</f>
        <v>#REF!</v>
      </c>
      <c r="DI112" t="e">
        <f>AND(#REF!,"AAAAAHezp3A=")</f>
        <v>#REF!</v>
      </c>
      <c r="DJ112" t="e">
        <f>AND(#REF!,"AAAAAHezp3E=")</f>
        <v>#REF!</v>
      </c>
      <c r="DK112" t="e">
        <f>AND(#REF!,"AAAAAHezp3I=")</f>
        <v>#REF!</v>
      </c>
      <c r="DL112" t="e">
        <f>AND(#REF!,"AAAAAHezp3M=")</f>
        <v>#REF!</v>
      </c>
      <c r="DM112" t="e">
        <f>AND(#REF!,"AAAAAHezp3Q=")</f>
        <v>#REF!</v>
      </c>
      <c r="DN112" t="e">
        <f>AND(#REF!,"AAAAAHezp3U=")</f>
        <v>#REF!</v>
      </c>
      <c r="DO112" t="e">
        <f>IF(#REF!,"AAAAAHezp3Y=",0)</f>
        <v>#REF!</v>
      </c>
      <c r="DP112" t="e">
        <f>AND(#REF!,"AAAAAHezp3c=")</f>
        <v>#REF!</v>
      </c>
      <c r="DQ112" t="e">
        <f>AND(#REF!,"AAAAAHezp3g=")</f>
        <v>#REF!</v>
      </c>
      <c r="DR112" t="e">
        <f>AND(#REF!,"AAAAAHezp3k=")</f>
        <v>#REF!</v>
      </c>
      <c r="DS112" t="e">
        <f>AND(#REF!,"AAAAAHezp3o=")</f>
        <v>#REF!</v>
      </c>
      <c r="DT112" t="e">
        <f>AND(#REF!,"AAAAAHezp3s=")</f>
        <v>#REF!</v>
      </c>
      <c r="DU112" t="e">
        <f>AND(#REF!,"AAAAAHezp3w=")</f>
        <v>#REF!</v>
      </c>
      <c r="DV112" t="e">
        <f>IF(#REF!,"AAAAAHezp30=",0)</f>
        <v>#REF!</v>
      </c>
      <c r="DW112" t="e">
        <f>AND(#REF!,"AAAAAHezp34=")</f>
        <v>#REF!</v>
      </c>
      <c r="DX112" t="e">
        <f>AND(#REF!,"AAAAAHezp38=")</f>
        <v>#REF!</v>
      </c>
      <c r="DY112" t="e">
        <f>AND(#REF!,"AAAAAHezp4A=")</f>
        <v>#REF!</v>
      </c>
      <c r="DZ112" t="e">
        <f>AND(#REF!,"AAAAAHezp4E=")</f>
        <v>#REF!</v>
      </c>
      <c r="EA112" t="e">
        <f>AND(#REF!,"AAAAAHezp4I=")</f>
        <v>#REF!</v>
      </c>
      <c r="EB112" t="e">
        <f>AND(#REF!,"AAAAAHezp4M=")</f>
        <v>#REF!</v>
      </c>
      <c r="EC112" t="e">
        <f>IF(#REF!,"AAAAAHezp4Q=",0)</f>
        <v>#REF!</v>
      </c>
      <c r="ED112" t="e">
        <f>AND(#REF!,"AAAAAHezp4U=")</f>
        <v>#REF!</v>
      </c>
      <c r="EE112" t="e">
        <f>AND(#REF!,"AAAAAHezp4Y=")</f>
        <v>#REF!</v>
      </c>
      <c r="EF112" t="e">
        <f>AND(#REF!,"AAAAAHezp4c=")</f>
        <v>#REF!</v>
      </c>
      <c r="EG112" t="e">
        <f>AND(#REF!,"AAAAAHezp4g=")</f>
        <v>#REF!</v>
      </c>
      <c r="EH112" t="e">
        <f>AND(#REF!,"AAAAAHezp4k=")</f>
        <v>#REF!</v>
      </c>
      <c r="EI112" t="e">
        <f>AND(#REF!,"AAAAAHezp4o=")</f>
        <v>#REF!</v>
      </c>
      <c r="EJ112" t="e">
        <f>IF(#REF!,"AAAAAHezp4s=",0)</f>
        <v>#REF!</v>
      </c>
      <c r="EK112" t="e">
        <f>AND(#REF!,"AAAAAHezp4w=")</f>
        <v>#REF!</v>
      </c>
      <c r="EL112" t="e">
        <f>AND(#REF!,"AAAAAHezp40=")</f>
        <v>#REF!</v>
      </c>
      <c r="EM112" t="e">
        <f>AND(#REF!,"AAAAAHezp44=")</f>
        <v>#REF!</v>
      </c>
      <c r="EN112" t="e">
        <f>AND(#REF!,"AAAAAHezp48=")</f>
        <v>#REF!</v>
      </c>
      <c r="EO112" t="e">
        <f>AND(#REF!,"AAAAAHezp5A=")</f>
        <v>#REF!</v>
      </c>
      <c r="EP112" t="e">
        <f>AND(#REF!,"AAAAAHezp5E=")</f>
        <v>#REF!</v>
      </c>
      <c r="EQ112" t="e">
        <f>IF(#REF!,"AAAAAHezp5I=",0)</f>
        <v>#REF!</v>
      </c>
      <c r="ER112" t="e">
        <f>AND(#REF!,"AAAAAHezp5M=")</f>
        <v>#REF!</v>
      </c>
      <c r="ES112" t="e">
        <f>AND(#REF!,"AAAAAHezp5Q=")</f>
        <v>#REF!</v>
      </c>
      <c r="ET112" t="e">
        <f>AND(#REF!,"AAAAAHezp5U=")</f>
        <v>#REF!</v>
      </c>
      <c r="EU112" t="e">
        <f>AND(#REF!,"AAAAAHezp5Y=")</f>
        <v>#REF!</v>
      </c>
      <c r="EV112" t="e">
        <f>AND(#REF!,"AAAAAHezp5c=")</f>
        <v>#REF!</v>
      </c>
      <c r="EW112" t="e">
        <f>AND(#REF!,"AAAAAHezp5g=")</f>
        <v>#REF!</v>
      </c>
      <c r="EX112" t="e">
        <f>IF(#REF!,"AAAAAHezp5k=",0)</f>
        <v>#REF!</v>
      </c>
      <c r="EY112" t="e">
        <f>AND(#REF!,"AAAAAHezp5o=")</f>
        <v>#REF!</v>
      </c>
      <c r="EZ112" t="e">
        <f>AND(#REF!,"AAAAAHezp5s=")</f>
        <v>#REF!</v>
      </c>
      <c r="FA112" t="e">
        <f>AND(#REF!,"AAAAAHezp5w=")</f>
        <v>#REF!</v>
      </c>
      <c r="FB112" t="e">
        <f>AND(#REF!,"AAAAAHezp50=")</f>
        <v>#REF!</v>
      </c>
      <c r="FC112" t="e">
        <f>AND(#REF!,"AAAAAHezp54=")</f>
        <v>#REF!</v>
      </c>
      <c r="FD112" t="e">
        <f>AND(#REF!,"AAAAAHezp58=")</f>
        <v>#REF!</v>
      </c>
      <c r="FE112" t="e">
        <f>IF(#REF!,"AAAAAHezp6A=",0)</f>
        <v>#REF!</v>
      </c>
      <c r="FF112" t="e">
        <f>AND(#REF!,"AAAAAHezp6E=")</f>
        <v>#REF!</v>
      </c>
      <c r="FG112" t="e">
        <f>AND(#REF!,"AAAAAHezp6I=")</f>
        <v>#REF!</v>
      </c>
      <c r="FH112" t="e">
        <f>AND(#REF!,"AAAAAHezp6M=")</f>
        <v>#REF!</v>
      </c>
      <c r="FI112" t="e">
        <f>AND(#REF!,"AAAAAHezp6Q=")</f>
        <v>#REF!</v>
      </c>
      <c r="FJ112" t="e">
        <f>AND(#REF!,"AAAAAHezp6U=")</f>
        <v>#REF!</v>
      </c>
      <c r="FK112" t="e">
        <f>AND(#REF!,"AAAAAHezp6Y=")</f>
        <v>#REF!</v>
      </c>
      <c r="FL112" t="e">
        <f>IF(#REF!,"AAAAAHezp6c=",0)</f>
        <v>#REF!</v>
      </c>
      <c r="FM112" t="e">
        <f>AND(#REF!,"AAAAAHezp6g=")</f>
        <v>#REF!</v>
      </c>
      <c r="FN112" t="e">
        <f>AND(#REF!,"AAAAAHezp6k=")</f>
        <v>#REF!</v>
      </c>
      <c r="FO112" t="e">
        <f>AND(#REF!,"AAAAAHezp6o=")</f>
        <v>#REF!</v>
      </c>
      <c r="FP112" t="e">
        <f>AND(#REF!,"AAAAAHezp6s=")</f>
        <v>#REF!</v>
      </c>
      <c r="FQ112" t="e">
        <f>AND(#REF!,"AAAAAHezp6w=")</f>
        <v>#REF!</v>
      </c>
      <c r="FR112" t="e">
        <f>AND(#REF!,"AAAAAHezp60=")</f>
        <v>#REF!</v>
      </c>
      <c r="FS112" t="e">
        <f>IF(#REF!,"AAAAAHezp64=",0)</f>
        <v>#REF!</v>
      </c>
      <c r="FT112" t="e">
        <f>AND(#REF!,"AAAAAHezp68=")</f>
        <v>#REF!</v>
      </c>
      <c r="FU112" t="e">
        <f>AND(#REF!,"AAAAAHezp7A=")</f>
        <v>#REF!</v>
      </c>
      <c r="FV112" t="e">
        <f>AND(#REF!,"AAAAAHezp7E=")</f>
        <v>#REF!</v>
      </c>
      <c r="FW112" t="e">
        <f>AND(#REF!,"AAAAAHezp7I=")</f>
        <v>#REF!</v>
      </c>
      <c r="FX112" t="e">
        <f>AND(#REF!,"AAAAAHezp7M=")</f>
        <v>#REF!</v>
      </c>
      <c r="FY112" t="e">
        <f>AND(#REF!,"AAAAAHezp7Q=")</f>
        <v>#REF!</v>
      </c>
      <c r="FZ112" t="e">
        <f>IF(#REF!,"AAAAAHezp7U=",0)</f>
        <v>#REF!</v>
      </c>
      <c r="GA112" t="e">
        <f>AND(#REF!,"AAAAAHezp7Y=")</f>
        <v>#REF!</v>
      </c>
      <c r="GB112" t="e">
        <f>AND(#REF!,"AAAAAHezp7c=")</f>
        <v>#REF!</v>
      </c>
      <c r="GC112" t="e">
        <f>AND(#REF!,"AAAAAHezp7g=")</f>
        <v>#REF!</v>
      </c>
      <c r="GD112" t="e">
        <f>AND(#REF!,"AAAAAHezp7k=")</f>
        <v>#REF!</v>
      </c>
      <c r="GE112" t="e">
        <f>AND(#REF!,"AAAAAHezp7o=")</f>
        <v>#REF!</v>
      </c>
      <c r="GF112" t="e">
        <f>AND(#REF!,"AAAAAHezp7s=")</f>
        <v>#REF!</v>
      </c>
      <c r="GG112" t="e">
        <f>IF(#REF!,"AAAAAHezp7w=",0)</f>
        <v>#REF!</v>
      </c>
      <c r="GH112" t="e">
        <f>AND(#REF!,"AAAAAHezp70=")</f>
        <v>#REF!</v>
      </c>
      <c r="GI112" t="e">
        <f>AND(#REF!,"AAAAAHezp74=")</f>
        <v>#REF!</v>
      </c>
      <c r="GJ112" t="e">
        <f>AND(#REF!,"AAAAAHezp78=")</f>
        <v>#REF!</v>
      </c>
      <c r="GK112" t="e">
        <f>AND(#REF!,"AAAAAHezp8A=")</f>
        <v>#REF!</v>
      </c>
      <c r="GL112" t="e">
        <f>AND(#REF!,"AAAAAHezp8E=")</f>
        <v>#REF!</v>
      </c>
      <c r="GM112" t="e">
        <f>AND(#REF!,"AAAAAHezp8I=")</f>
        <v>#REF!</v>
      </c>
      <c r="GN112" t="e">
        <f>IF(#REF!,"AAAAAHezp8M=",0)</f>
        <v>#REF!</v>
      </c>
      <c r="GO112" t="e">
        <f>AND(#REF!,"AAAAAHezp8Q=")</f>
        <v>#REF!</v>
      </c>
      <c r="GP112" t="e">
        <f>AND(#REF!,"AAAAAHezp8U=")</f>
        <v>#REF!</v>
      </c>
      <c r="GQ112" t="e">
        <f>AND(#REF!,"AAAAAHezp8Y=")</f>
        <v>#REF!</v>
      </c>
      <c r="GR112" t="e">
        <f>AND(#REF!,"AAAAAHezp8c=")</f>
        <v>#REF!</v>
      </c>
      <c r="GS112" t="e">
        <f>AND(#REF!,"AAAAAHezp8g=")</f>
        <v>#REF!</v>
      </c>
      <c r="GT112" t="e">
        <f>AND(#REF!,"AAAAAHezp8k=")</f>
        <v>#REF!</v>
      </c>
      <c r="GU112" t="e">
        <f>IF(#REF!,"AAAAAHezp8o=",0)</f>
        <v>#REF!</v>
      </c>
      <c r="GV112" t="e">
        <f>AND(#REF!,"AAAAAHezp8s=")</f>
        <v>#REF!</v>
      </c>
      <c r="GW112" t="e">
        <f>AND(#REF!,"AAAAAHezp8w=")</f>
        <v>#REF!</v>
      </c>
      <c r="GX112" t="e">
        <f>AND(#REF!,"AAAAAHezp80=")</f>
        <v>#REF!</v>
      </c>
      <c r="GY112" t="e">
        <f>AND(#REF!,"AAAAAHezp84=")</f>
        <v>#REF!</v>
      </c>
      <c r="GZ112" t="e">
        <f>AND(#REF!,"AAAAAHezp88=")</f>
        <v>#REF!</v>
      </c>
      <c r="HA112" t="e">
        <f>AND(#REF!,"AAAAAHezp9A=")</f>
        <v>#REF!</v>
      </c>
      <c r="HB112" t="e">
        <f>IF(#REF!,"AAAAAHezp9E=",0)</f>
        <v>#REF!</v>
      </c>
      <c r="HC112" t="e">
        <f>AND(#REF!,"AAAAAHezp9I=")</f>
        <v>#REF!</v>
      </c>
      <c r="HD112" t="e">
        <f>AND(#REF!,"AAAAAHezp9M=")</f>
        <v>#REF!</v>
      </c>
      <c r="HE112" t="e">
        <f>AND(#REF!,"AAAAAHezp9Q=")</f>
        <v>#REF!</v>
      </c>
      <c r="HF112" t="e">
        <f>AND(#REF!,"AAAAAHezp9U=")</f>
        <v>#REF!</v>
      </c>
      <c r="HG112" t="e">
        <f>AND(#REF!,"AAAAAHezp9Y=")</f>
        <v>#REF!</v>
      </c>
      <c r="HH112" t="e">
        <f>AND(#REF!,"AAAAAHezp9c=")</f>
        <v>#REF!</v>
      </c>
      <c r="HI112" t="e">
        <f>IF(#REF!,"AAAAAHezp9g=",0)</f>
        <v>#REF!</v>
      </c>
      <c r="HJ112" t="e">
        <f>AND(#REF!,"AAAAAHezp9k=")</f>
        <v>#REF!</v>
      </c>
      <c r="HK112" t="e">
        <f>AND(#REF!,"AAAAAHezp9o=")</f>
        <v>#REF!</v>
      </c>
      <c r="HL112" t="e">
        <f>AND(#REF!,"AAAAAHezp9s=")</f>
        <v>#REF!</v>
      </c>
      <c r="HM112" t="e">
        <f>AND(#REF!,"AAAAAHezp9w=")</f>
        <v>#REF!</v>
      </c>
      <c r="HN112" t="e">
        <f>AND(#REF!,"AAAAAHezp90=")</f>
        <v>#REF!</v>
      </c>
      <c r="HO112" t="e">
        <f>AND(#REF!,"AAAAAHezp94=")</f>
        <v>#REF!</v>
      </c>
      <c r="HP112" t="e">
        <f>IF(#REF!,"AAAAAHezp98=",0)</f>
        <v>#REF!</v>
      </c>
      <c r="HQ112" t="e">
        <f>AND(#REF!,"AAAAAHezp+A=")</f>
        <v>#REF!</v>
      </c>
      <c r="HR112" t="e">
        <f>AND(#REF!,"AAAAAHezp+E=")</f>
        <v>#REF!</v>
      </c>
      <c r="HS112" t="e">
        <f>AND(#REF!,"AAAAAHezp+I=")</f>
        <v>#REF!</v>
      </c>
      <c r="HT112" t="e">
        <f>AND(#REF!,"AAAAAHezp+M=")</f>
        <v>#REF!</v>
      </c>
      <c r="HU112" t="e">
        <f>AND(#REF!,"AAAAAHezp+Q=")</f>
        <v>#REF!</v>
      </c>
      <c r="HV112" t="e">
        <f>AND(#REF!,"AAAAAHezp+U=")</f>
        <v>#REF!</v>
      </c>
      <c r="HW112" t="e">
        <f>IF(#REF!,"AAAAAHezp+Y=",0)</f>
        <v>#REF!</v>
      </c>
      <c r="HX112" t="e">
        <f>AND(#REF!,"AAAAAHezp+c=")</f>
        <v>#REF!</v>
      </c>
      <c r="HY112" t="e">
        <f>AND(#REF!,"AAAAAHezp+g=")</f>
        <v>#REF!</v>
      </c>
      <c r="HZ112" t="e">
        <f>AND(#REF!,"AAAAAHezp+k=")</f>
        <v>#REF!</v>
      </c>
      <c r="IA112" t="e">
        <f>AND(#REF!,"AAAAAHezp+o=")</f>
        <v>#REF!</v>
      </c>
      <c r="IB112" t="e">
        <f>AND(#REF!,"AAAAAHezp+s=")</f>
        <v>#REF!</v>
      </c>
      <c r="IC112" t="e">
        <f>AND(#REF!,"AAAAAHezp+w=")</f>
        <v>#REF!</v>
      </c>
      <c r="ID112" t="e">
        <f>IF(#REF!,"AAAAAHezp+0=",0)</f>
        <v>#REF!</v>
      </c>
      <c r="IE112" t="e">
        <f>AND(#REF!,"AAAAAHezp+4=")</f>
        <v>#REF!</v>
      </c>
      <c r="IF112" t="e">
        <f>AND(#REF!,"AAAAAHezp+8=")</f>
        <v>#REF!</v>
      </c>
      <c r="IG112" t="e">
        <f>AND(#REF!,"AAAAAHezp/A=")</f>
        <v>#REF!</v>
      </c>
      <c r="IH112" t="e">
        <f>AND(#REF!,"AAAAAHezp/E=")</f>
        <v>#REF!</v>
      </c>
      <c r="II112" t="e">
        <f>AND(#REF!,"AAAAAHezp/I=")</f>
        <v>#REF!</v>
      </c>
      <c r="IJ112" t="e">
        <f>AND(#REF!,"AAAAAHezp/M=")</f>
        <v>#REF!</v>
      </c>
      <c r="IK112" t="e">
        <f>IF(#REF!,"AAAAAHezp/Q=",0)</f>
        <v>#REF!</v>
      </c>
      <c r="IL112" t="e">
        <f>AND(#REF!,"AAAAAHezp/U=")</f>
        <v>#REF!</v>
      </c>
      <c r="IM112" t="e">
        <f>AND(#REF!,"AAAAAHezp/Y=")</f>
        <v>#REF!</v>
      </c>
      <c r="IN112" t="e">
        <f>AND(#REF!,"AAAAAHezp/c=")</f>
        <v>#REF!</v>
      </c>
      <c r="IO112" t="e">
        <f>AND(#REF!,"AAAAAHezp/g=")</f>
        <v>#REF!</v>
      </c>
      <c r="IP112" t="e">
        <f>AND(#REF!,"AAAAAHezp/k=")</f>
        <v>#REF!</v>
      </c>
      <c r="IQ112" t="e">
        <f>AND(#REF!,"AAAAAHezp/o=")</f>
        <v>#REF!</v>
      </c>
      <c r="IR112" t="e">
        <f>IF(#REF!,"AAAAAHezp/s=",0)</f>
        <v>#REF!</v>
      </c>
      <c r="IS112" t="e">
        <f>AND(#REF!,"AAAAAHezp/w=")</f>
        <v>#REF!</v>
      </c>
      <c r="IT112" t="e">
        <f>AND(#REF!,"AAAAAHezp/0=")</f>
        <v>#REF!</v>
      </c>
      <c r="IU112" t="e">
        <f>AND(#REF!,"AAAAAHezp/4=")</f>
        <v>#REF!</v>
      </c>
      <c r="IV112" t="e">
        <f>AND(#REF!,"AAAAAHezp/8=")</f>
        <v>#REF!</v>
      </c>
    </row>
    <row r="113" spans="1:256" x14ac:dyDescent="0.15">
      <c r="A113" t="e">
        <f>AND(#REF!,"AAAAAH/QrwA=")</f>
        <v>#REF!</v>
      </c>
      <c r="B113" t="e">
        <f>AND(#REF!,"AAAAAH/QrwE=")</f>
        <v>#REF!</v>
      </c>
      <c r="C113" t="e">
        <f>IF(#REF!,"AAAAAH/QrwI=",0)</f>
        <v>#REF!</v>
      </c>
      <c r="D113" t="e">
        <f>AND(#REF!,"AAAAAH/QrwM=")</f>
        <v>#REF!</v>
      </c>
      <c r="E113" t="e">
        <f>AND(#REF!,"AAAAAH/QrwQ=")</f>
        <v>#REF!</v>
      </c>
      <c r="F113" t="e">
        <f>AND(#REF!,"AAAAAH/QrwU=")</f>
        <v>#REF!</v>
      </c>
      <c r="G113" t="e">
        <f>AND(#REF!,"AAAAAH/QrwY=")</f>
        <v>#REF!</v>
      </c>
      <c r="H113" t="e">
        <f>AND(#REF!,"AAAAAH/Qrwc=")</f>
        <v>#REF!</v>
      </c>
      <c r="I113" t="e">
        <f>AND(#REF!,"AAAAAH/Qrwg=")</f>
        <v>#REF!</v>
      </c>
      <c r="J113" t="e">
        <f>IF(#REF!,"AAAAAH/Qrwk=",0)</f>
        <v>#REF!</v>
      </c>
      <c r="K113" t="e">
        <f>AND(#REF!,"AAAAAH/Qrwo=")</f>
        <v>#REF!</v>
      </c>
      <c r="L113" t="e">
        <f>AND(#REF!,"AAAAAH/Qrws=")</f>
        <v>#REF!</v>
      </c>
      <c r="M113" t="e">
        <f>AND(#REF!,"AAAAAH/Qrww=")</f>
        <v>#REF!</v>
      </c>
      <c r="N113" t="e">
        <f>AND(#REF!,"AAAAAH/Qrw0=")</f>
        <v>#REF!</v>
      </c>
      <c r="O113" t="e">
        <f>AND(#REF!,"AAAAAH/Qrw4=")</f>
        <v>#REF!</v>
      </c>
      <c r="P113" t="e">
        <f>AND(#REF!,"AAAAAH/Qrw8=")</f>
        <v>#REF!</v>
      </c>
      <c r="Q113" t="e">
        <f>IF(#REF!,"AAAAAH/QrxA=",0)</f>
        <v>#REF!</v>
      </c>
      <c r="R113" t="e">
        <f>AND(#REF!,"AAAAAH/QrxE=")</f>
        <v>#REF!</v>
      </c>
      <c r="S113" t="e">
        <f>AND(#REF!,"AAAAAH/QrxI=")</f>
        <v>#REF!</v>
      </c>
      <c r="T113" t="e">
        <f>AND(#REF!,"AAAAAH/QrxM=")</f>
        <v>#REF!</v>
      </c>
      <c r="U113" t="e">
        <f>AND(#REF!,"AAAAAH/QrxQ=")</f>
        <v>#REF!</v>
      </c>
      <c r="V113" t="e">
        <f>AND(#REF!,"AAAAAH/QrxU=")</f>
        <v>#REF!</v>
      </c>
      <c r="W113" t="e">
        <f>AND(#REF!,"AAAAAH/QrxY=")</f>
        <v>#REF!</v>
      </c>
      <c r="X113" t="e">
        <f>IF(#REF!,"AAAAAH/Qrxc=",0)</f>
        <v>#REF!</v>
      </c>
      <c r="Y113" t="e">
        <f>AND(#REF!,"AAAAAH/Qrxg=")</f>
        <v>#REF!</v>
      </c>
      <c r="Z113" t="e">
        <f>AND(#REF!,"AAAAAH/Qrxk=")</f>
        <v>#REF!</v>
      </c>
      <c r="AA113" t="e">
        <f>AND(#REF!,"AAAAAH/Qrxo=")</f>
        <v>#REF!</v>
      </c>
      <c r="AB113" t="e">
        <f>AND(#REF!,"AAAAAH/Qrxs=")</f>
        <v>#REF!</v>
      </c>
      <c r="AC113" t="e">
        <f>AND(#REF!,"AAAAAH/Qrxw=")</f>
        <v>#REF!</v>
      </c>
      <c r="AD113" t="e">
        <f>AND(#REF!,"AAAAAH/Qrx0=")</f>
        <v>#REF!</v>
      </c>
      <c r="AE113" t="e">
        <f>IF(#REF!,"AAAAAH/Qrx4=",0)</f>
        <v>#REF!</v>
      </c>
      <c r="AF113" t="e">
        <f>AND(#REF!,"AAAAAH/Qrx8=")</f>
        <v>#REF!</v>
      </c>
      <c r="AG113" t="e">
        <f>AND(#REF!,"AAAAAH/QryA=")</f>
        <v>#REF!</v>
      </c>
      <c r="AH113" t="e">
        <f>AND(#REF!,"AAAAAH/QryE=")</f>
        <v>#REF!</v>
      </c>
      <c r="AI113" t="e">
        <f>AND(#REF!,"AAAAAH/QryI=")</f>
        <v>#REF!</v>
      </c>
      <c r="AJ113" t="e">
        <f>AND(#REF!,"AAAAAH/QryM=")</f>
        <v>#REF!</v>
      </c>
      <c r="AK113" t="e">
        <f>AND(#REF!,"AAAAAH/QryQ=")</f>
        <v>#REF!</v>
      </c>
      <c r="AL113" t="e">
        <f>IF(#REF!,"AAAAAH/QryU=",0)</f>
        <v>#REF!</v>
      </c>
      <c r="AM113" t="e">
        <f>AND(#REF!,"AAAAAH/QryY=")</f>
        <v>#REF!</v>
      </c>
      <c r="AN113" t="e">
        <f>AND(#REF!,"AAAAAH/Qryc=")</f>
        <v>#REF!</v>
      </c>
      <c r="AO113" t="e">
        <f>AND(#REF!,"AAAAAH/Qryg=")</f>
        <v>#REF!</v>
      </c>
      <c r="AP113" t="e">
        <f>AND(#REF!,"AAAAAH/Qryk=")</f>
        <v>#REF!</v>
      </c>
      <c r="AQ113" t="e">
        <f>AND(#REF!,"AAAAAH/Qryo=")</f>
        <v>#REF!</v>
      </c>
      <c r="AR113" t="e">
        <f>AND(#REF!,"AAAAAH/Qrys=")</f>
        <v>#REF!</v>
      </c>
      <c r="AS113" t="e">
        <f>IF(#REF!,"AAAAAH/Qryw=",0)</f>
        <v>#REF!</v>
      </c>
      <c r="AT113" t="e">
        <f>AND(#REF!,"AAAAAH/Qry0=")</f>
        <v>#REF!</v>
      </c>
      <c r="AU113" t="e">
        <f>AND(#REF!,"AAAAAH/Qry4=")</f>
        <v>#REF!</v>
      </c>
      <c r="AV113" t="e">
        <f>AND(#REF!,"AAAAAH/Qry8=")</f>
        <v>#REF!</v>
      </c>
      <c r="AW113" t="e">
        <f>AND(#REF!,"AAAAAH/QrzA=")</f>
        <v>#REF!</v>
      </c>
      <c r="AX113" t="e">
        <f>AND(#REF!,"AAAAAH/QrzE=")</f>
        <v>#REF!</v>
      </c>
      <c r="AY113" t="e">
        <f>AND(#REF!,"AAAAAH/QrzI=")</f>
        <v>#REF!</v>
      </c>
      <c r="AZ113" t="e">
        <f>IF(#REF!,"AAAAAH/QrzM=",0)</f>
        <v>#REF!</v>
      </c>
      <c r="BA113" t="e">
        <f>AND(#REF!,"AAAAAH/QrzQ=")</f>
        <v>#REF!</v>
      </c>
      <c r="BB113" t="e">
        <f>AND(#REF!,"AAAAAH/QrzU=")</f>
        <v>#REF!</v>
      </c>
      <c r="BC113" t="e">
        <f>AND(#REF!,"AAAAAH/QrzY=")</f>
        <v>#REF!</v>
      </c>
      <c r="BD113" t="e">
        <f>AND(#REF!,"AAAAAH/Qrzc=")</f>
        <v>#REF!</v>
      </c>
      <c r="BE113" t="e">
        <f>AND(#REF!,"AAAAAH/Qrzg=")</f>
        <v>#REF!</v>
      </c>
      <c r="BF113" t="e">
        <f>AND(#REF!,"AAAAAH/Qrzk=")</f>
        <v>#REF!</v>
      </c>
      <c r="BG113" t="e">
        <f>IF(#REF!,"AAAAAH/Qrzo=",0)</f>
        <v>#REF!</v>
      </c>
      <c r="BH113" t="e">
        <f>AND(#REF!,"AAAAAH/Qrzs=")</f>
        <v>#REF!</v>
      </c>
      <c r="BI113" t="e">
        <f>AND(#REF!,"AAAAAH/Qrzw=")</f>
        <v>#REF!</v>
      </c>
      <c r="BJ113" t="e">
        <f>AND(#REF!,"AAAAAH/Qrz0=")</f>
        <v>#REF!</v>
      </c>
      <c r="BK113" t="e">
        <f>AND(#REF!,"AAAAAH/Qrz4=")</f>
        <v>#REF!</v>
      </c>
      <c r="BL113" t="e">
        <f>AND(#REF!,"AAAAAH/Qrz8=")</f>
        <v>#REF!</v>
      </c>
      <c r="BM113" t="e">
        <f>AND(#REF!,"AAAAAH/Qr0A=")</f>
        <v>#REF!</v>
      </c>
      <c r="BN113" t="e">
        <f>IF(#REF!,"AAAAAH/Qr0E=",0)</f>
        <v>#REF!</v>
      </c>
      <c r="BO113" t="e">
        <f>AND(#REF!,"AAAAAH/Qr0I=")</f>
        <v>#REF!</v>
      </c>
      <c r="BP113" t="e">
        <f>AND(#REF!,"AAAAAH/Qr0M=")</f>
        <v>#REF!</v>
      </c>
      <c r="BQ113" t="e">
        <f>AND(#REF!,"AAAAAH/Qr0Q=")</f>
        <v>#REF!</v>
      </c>
      <c r="BR113" t="e">
        <f>AND(#REF!,"AAAAAH/Qr0U=")</f>
        <v>#REF!</v>
      </c>
      <c r="BS113" t="e">
        <f>AND(#REF!,"AAAAAH/Qr0Y=")</f>
        <v>#REF!</v>
      </c>
      <c r="BT113" t="e">
        <f>AND(#REF!,"AAAAAH/Qr0c=")</f>
        <v>#REF!</v>
      </c>
      <c r="BU113" t="e">
        <f>IF(#REF!,"AAAAAH/Qr0g=",0)</f>
        <v>#REF!</v>
      </c>
      <c r="BV113" t="e">
        <f>AND(#REF!,"AAAAAH/Qr0k=")</f>
        <v>#REF!</v>
      </c>
      <c r="BW113" t="e">
        <f>AND(#REF!,"AAAAAH/Qr0o=")</f>
        <v>#REF!</v>
      </c>
      <c r="BX113" t="e">
        <f>AND(#REF!,"AAAAAH/Qr0s=")</f>
        <v>#REF!</v>
      </c>
      <c r="BY113" t="e">
        <f>AND(#REF!,"AAAAAH/Qr0w=")</f>
        <v>#REF!</v>
      </c>
      <c r="BZ113" t="e">
        <f>AND(#REF!,"AAAAAH/Qr00=")</f>
        <v>#REF!</v>
      </c>
      <c r="CA113" t="e">
        <f>AND(#REF!,"AAAAAH/Qr04=")</f>
        <v>#REF!</v>
      </c>
      <c r="CB113" t="e">
        <f>IF(#REF!,"AAAAAH/Qr08=",0)</f>
        <v>#REF!</v>
      </c>
      <c r="CC113" t="e">
        <f>AND(#REF!,"AAAAAH/Qr1A=")</f>
        <v>#REF!</v>
      </c>
      <c r="CD113" t="e">
        <f>AND(#REF!,"AAAAAH/Qr1E=")</f>
        <v>#REF!</v>
      </c>
      <c r="CE113" t="e">
        <f>AND(#REF!,"AAAAAH/Qr1I=")</f>
        <v>#REF!</v>
      </c>
      <c r="CF113" t="e">
        <f>AND(#REF!,"AAAAAH/Qr1M=")</f>
        <v>#REF!</v>
      </c>
      <c r="CG113" t="e">
        <f>AND(#REF!,"AAAAAH/Qr1Q=")</f>
        <v>#REF!</v>
      </c>
      <c r="CH113" t="e">
        <f>AND(#REF!,"AAAAAH/Qr1U=")</f>
        <v>#REF!</v>
      </c>
      <c r="CI113" t="e">
        <f>IF(#REF!,"AAAAAH/Qr1Y=",0)</f>
        <v>#REF!</v>
      </c>
      <c r="CJ113" t="e">
        <f>AND(#REF!,"AAAAAH/Qr1c=")</f>
        <v>#REF!</v>
      </c>
      <c r="CK113" t="e">
        <f>AND(#REF!,"AAAAAH/Qr1g=")</f>
        <v>#REF!</v>
      </c>
      <c r="CL113" t="e">
        <f>AND(#REF!,"AAAAAH/Qr1k=")</f>
        <v>#REF!</v>
      </c>
      <c r="CM113" t="e">
        <f>AND(#REF!,"AAAAAH/Qr1o=")</f>
        <v>#REF!</v>
      </c>
      <c r="CN113" t="e">
        <f>AND(#REF!,"AAAAAH/Qr1s=")</f>
        <v>#REF!</v>
      </c>
      <c r="CO113" t="e">
        <f>AND(#REF!,"AAAAAH/Qr1w=")</f>
        <v>#REF!</v>
      </c>
      <c r="CP113" t="e">
        <f>IF(#REF!,"AAAAAH/Qr10=",0)</f>
        <v>#REF!</v>
      </c>
      <c r="CQ113" t="e">
        <f>AND(#REF!,"AAAAAH/Qr14=")</f>
        <v>#REF!</v>
      </c>
      <c r="CR113" t="e">
        <f>AND(#REF!,"AAAAAH/Qr18=")</f>
        <v>#REF!</v>
      </c>
      <c r="CS113" t="e">
        <f>AND(#REF!,"AAAAAH/Qr2A=")</f>
        <v>#REF!</v>
      </c>
      <c r="CT113" t="e">
        <f>AND(#REF!,"AAAAAH/Qr2E=")</f>
        <v>#REF!</v>
      </c>
      <c r="CU113" t="e">
        <f>AND(#REF!,"AAAAAH/Qr2I=")</f>
        <v>#REF!</v>
      </c>
      <c r="CV113" t="e">
        <f>AND(#REF!,"AAAAAH/Qr2M=")</f>
        <v>#REF!</v>
      </c>
      <c r="CW113" t="e">
        <f>IF(#REF!,"AAAAAH/Qr2Q=",0)</f>
        <v>#REF!</v>
      </c>
      <c r="CX113" t="e">
        <f>AND(#REF!,"AAAAAH/Qr2U=")</f>
        <v>#REF!</v>
      </c>
      <c r="CY113" t="e">
        <f>AND(#REF!,"AAAAAH/Qr2Y=")</f>
        <v>#REF!</v>
      </c>
      <c r="CZ113" t="e">
        <f>AND(#REF!,"AAAAAH/Qr2c=")</f>
        <v>#REF!</v>
      </c>
      <c r="DA113" t="e">
        <f>AND(#REF!,"AAAAAH/Qr2g=")</f>
        <v>#REF!</v>
      </c>
      <c r="DB113" t="e">
        <f>AND(#REF!,"AAAAAH/Qr2k=")</f>
        <v>#REF!</v>
      </c>
      <c r="DC113" t="e">
        <f>AND(#REF!,"AAAAAH/Qr2o=")</f>
        <v>#REF!</v>
      </c>
      <c r="DD113" t="e">
        <f>IF(#REF!,"AAAAAH/Qr2s=",0)</f>
        <v>#REF!</v>
      </c>
      <c r="DE113" t="e">
        <f>AND(#REF!,"AAAAAH/Qr2w=")</f>
        <v>#REF!</v>
      </c>
      <c r="DF113" t="e">
        <f>AND(#REF!,"AAAAAH/Qr20=")</f>
        <v>#REF!</v>
      </c>
      <c r="DG113" t="e">
        <f>AND(#REF!,"AAAAAH/Qr24=")</f>
        <v>#REF!</v>
      </c>
      <c r="DH113" t="e">
        <f>AND(#REF!,"AAAAAH/Qr28=")</f>
        <v>#REF!</v>
      </c>
      <c r="DI113" t="e">
        <f>AND(#REF!,"AAAAAH/Qr3A=")</f>
        <v>#REF!</v>
      </c>
      <c r="DJ113" t="e">
        <f>AND(#REF!,"AAAAAH/Qr3E=")</f>
        <v>#REF!</v>
      </c>
      <c r="DK113" t="e">
        <f>IF(#REF!,"AAAAAH/Qr3I=",0)</f>
        <v>#REF!</v>
      </c>
      <c r="DL113" t="e">
        <f>AND(#REF!,"AAAAAH/Qr3M=")</f>
        <v>#REF!</v>
      </c>
      <c r="DM113" t="e">
        <f>AND(#REF!,"AAAAAH/Qr3Q=")</f>
        <v>#REF!</v>
      </c>
      <c r="DN113" t="e">
        <f>AND(#REF!,"AAAAAH/Qr3U=")</f>
        <v>#REF!</v>
      </c>
      <c r="DO113" t="e">
        <f>AND(#REF!,"AAAAAH/Qr3Y=")</f>
        <v>#REF!</v>
      </c>
      <c r="DP113" t="e">
        <f>AND(#REF!,"AAAAAH/Qr3c=")</f>
        <v>#REF!</v>
      </c>
      <c r="DQ113" t="e">
        <f>AND(#REF!,"AAAAAH/Qr3g=")</f>
        <v>#REF!</v>
      </c>
      <c r="DR113" t="e">
        <f>IF(#REF!,"AAAAAH/Qr3k=",0)</f>
        <v>#REF!</v>
      </c>
      <c r="DS113" t="e">
        <f>AND(#REF!,"AAAAAH/Qr3o=")</f>
        <v>#REF!</v>
      </c>
      <c r="DT113" t="e">
        <f>AND(#REF!,"AAAAAH/Qr3s=")</f>
        <v>#REF!</v>
      </c>
      <c r="DU113" t="e">
        <f>AND(#REF!,"AAAAAH/Qr3w=")</f>
        <v>#REF!</v>
      </c>
      <c r="DV113" t="e">
        <f>AND(#REF!,"AAAAAH/Qr30=")</f>
        <v>#REF!</v>
      </c>
      <c r="DW113" t="e">
        <f>AND(#REF!,"AAAAAH/Qr34=")</f>
        <v>#REF!</v>
      </c>
      <c r="DX113" t="e">
        <f>AND(#REF!,"AAAAAH/Qr38=")</f>
        <v>#REF!</v>
      </c>
      <c r="DY113" t="e">
        <f>IF(#REF!,"AAAAAH/Qr4A=",0)</f>
        <v>#REF!</v>
      </c>
      <c r="DZ113" t="e">
        <f>AND(#REF!,"AAAAAH/Qr4E=")</f>
        <v>#REF!</v>
      </c>
      <c r="EA113" t="e">
        <f>AND(#REF!,"AAAAAH/Qr4I=")</f>
        <v>#REF!</v>
      </c>
      <c r="EB113" t="e">
        <f>AND(#REF!,"AAAAAH/Qr4M=")</f>
        <v>#REF!</v>
      </c>
      <c r="EC113" t="e">
        <f>AND(#REF!,"AAAAAH/Qr4Q=")</f>
        <v>#REF!</v>
      </c>
      <c r="ED113" t="e">
        <f>AND(#REF!,"AAAAAH/Qr4U=")</f>
        <v>#REF!</v>
      </c>
      <c r="EE113" t="e">
        <f>AND(#REF!,"AAAAAH/Qr4Y=")</f>
        <v>#REF!</v>
      </c>
      <c r="EF113" t="e">
        <f>IF(#REF!,"AAAAAH/Qr4c=",0)</f>
        <v>#REF!</v>
      </c>
      <c r="EG113" t="e">
        <f>AND(#REF!,"AAAAAH/Qr4g=")</f>
        <v>#REF!</v>
      </c>
      <c r="EH113" t="e">
        <f>AND(#REF!,"AAAAAH/Qr4k=")</f>
        <v>#REF!</v>
      </c>
      <c r="EI113" t="e">
        <f>AND(#REF!,"AAAAAH/Qr4o=")</f>
        <v>#REF!</v>
      </c>
      <c r="EJ113" t="e">
        <f>AND(#REF!,"AAAAAH/Qr4s=")</f>
        <v>#REF!</v>
      </c>
      <c r="EK113" t="e">
        <f>AND(#REF!,"AAAAAH/Qr4w=")</f>
        <v>#REF!</v>
      </c>
      <c r="EL113" t="e">
        <f>AND(#REF!,"AAAAAH/Qr40=")</f>
        <v>#REF!</v>
      </c>
      <c r="EM113" t="e">
        <f>IF(#REF!,"AAAAAH/Qr44=",0)</f>
        <v>#REF!</v>
      </c>
      <c r="EN113" t="e">
        <f>AND(#REF!,"AAAAAH/Qr48=")</f>
        <v>#REF!</v>
      </c>
      <c r="EO113" t="e">
        <f>AND(#REF!,"AAAAAH/Qr5A=")</f>
        <v>#REF!</v>
      </c>
      <c r="EP113" t="e">
        <f>AND(#REF!,"AAAAAH/Qr5E=")</f>
        <v>#REF!</v>
      </c>
      <c r="EQ113" t="e">
        <f>AND(#REF!,"AAAAAH/Qr5I=")</f>
        <v>#REF!</v>
      </c>
      <c r="ER113" t="e">
        <f>AND(#REF!,"AAAAAH/Qr5M=")</f>
        <v>#REF!</v>
      </c>
      <c r="ES113" t="e">
        <f>AND(#REF!,"AAAAAH/Qr5Q=")</f>
        <v>#REF!</v>
      </c>
      <c r="ET113" t="e">
        <f>IF(#REF!,"AAAAAH/Qr5U=",0)</f>
        <v>#REF!</v>
      </c>
      <c r="EU113" t="e">
        <f>AND(#REF!,"AAAAAH/Qr5Y=")</f>
        <v>#REF!</v>
      </c>
      <c r="EV113" t="e">
        <f>AND(#REF!,"AAAAAH/Qr5c=")</f>
        <v>#REF!</v>
      </c>
      <c r="EW113" t="e">
        <f>AND(#REF!,"AAAAAH/Qr5g=")</f>
        <v>#REF!</v>
      </c>
      <c r="EX113" t="e">
        <f>AND(#REF!,"AAAAAH/Qr5k=")</f>
        <v>#REF!</v>
      </c>
      <c r="EY113" t="e">
        <f>AND(#REF!,"AAAAAH/Qr5o=")</f>
        <v>#REF!</v>
      </c>
      <c r="EZ113" t="e">
        <f>AND(#REF!,"AAAAAH/Qr5s=")</f>
        <v>#REF!</v>
      </c>
      <c r="FA113" t="e">
        <f>IF(#REF!,"AAAAAH/Qr5w=",0)</f>
        <v>#REF!</v>
      </c>
      <c r="FB113" t="e">
        <f>AND(#REF!,"AAAAAH/Qr50=")</f>
        <v>#REF!</v>
      </c>
      <c r="FC113" t="e">
        <f>AND(#REF!,"AAAAAH/Qr54=")</f>
        <v>#REF!</v>
      </c>
      <c r="FD113" t="e">
        <f>AND(#REF!,"AAAAAH/Qr58=")</f>
        <v>#REF!</v>
      </c>
      <c r="FE113" t="e">
        <f>AND(#REF!,"AAAAAH/Qr6A=")</f>
        <v>#REF!</v>
      </c>
      <c r="FF113" t="e">
        <f>AND(#REF!,"AAAAAH/Qr6E=")</f>
        <v>#REF!</v>
      </c>
      <c r="FG113" t="e">
        <f>AND(#REF!,"AAAAAH/Qr6I=")</f>
        <v>#REF!</v>
      </c>
      <c r="FH113" t="e">
        <f>IF(#REF!,"AAAAAH/Qr6M=",0)</f>
        <v>#REF!</v>
      </c>
      <c r="FI113" t="e">
        <f>AND(#REF!,"AAAAAH/Qr6Q=")</f>
        <v>#REF!</v>
      </c>
      <c r="FJ113" t="e">
        <f>AND(#REF!,"AAAAAH/Qr6U=")</f>
        <v>#REF!</v>
      </c>
      <c r="FK113" t="e">
        <f>AND(#REF!,"AAAAAH/Qr6Y=")</f>
        <v>#REF!</v>
      </c>
      <c r="FL113" t="e">
        <f>AND(#REF!,"AAAAAH/Qr6c=")</f>
        <v>#REF!</v>
      </c>
      <c r="FM113" t="e">
        <f>AND(#REF!,"AAAAAH/Qr6g=")</f>
        <v>#REF!</v>
      </c>
      <c r="FN113" t="e">
        <f>AND(#REF!,"AAAAAH/Qr6k=")</f>
        <v>#REF!</v>
      </c>
      <c r="FO113" t="e">
        <f>IF(#REF!,"AAAAAH/Qr6o=",0)</f>
        <v>#REF!</v>
      </c>
      <c r="FP113" t="e">
        <f>AND(#REF!,"AAAAAH/Qr6s=")</f>
        <v>#REF!</v>
      </c>
      <c r="FQ113" t="e">
        <f>AND(#REF!,"AAAAAH/Qr6w=")</f>
        <v>#REF!</v>
      </c>
      <c r="FR113" t="e">
        <f>AND(#REF!,"AAAAAH/Qr60=")</f>
        <v>#REF!</v>
      </c>
      <c r="FS113" t="e">
        <f>AND(#REF!,"AAAAAH/Qr64=")</f>
        <v>#REF!</v>
      </c>
      <c r="FT113" t="e">
        <f>AND(#REF!,"AAAAAH/Qr68=")</f>
        <v>#REF!</v>
      </c>
      <c r="FU113" t="e">
        <f>AND(#REF!,"AAAAAH/Qr7A=")</f>
        <v>#REF!</v>
      </c>
      <c r="FV113" t="e">
        <f>IF(#REF!,"AAAAAH/Qr7E=",0)</f>
        <v>#REF!</v>
      </c>
      <c r="FW113" t="e">
        <f>AND(#REF!,"AAAAAH/Qr7I=")</f>
        <v>#REF!</v>
      </c>
      <c r="FX113" t="e">
        <f>AND(#REF!,"AAAAAH/Qr7M=")</f>
        <v>#REF!</v>
      </c>
      <c r="FY113" t="e">
        <f>AND(#REF!,"AAAAAH/Qr7Q=")</f>
        <v>#REF!</v>
      </c>
      <c r="FZ113" t="e">
        <f>AND(#REF!,"AAAAAH/Qr7U=")</f>
        <v>#REF!</v>
      </c>
      <c r="GA113" t="e">
        <f>AND(#REF!,"AAAAAH/Qr7Y=")</f>
        <v>#REF!</v>
      </c>
      <c r="GB113" t="e">
        <f>AND(#REF!,"AAAAAH/Qr7c=")</f>
        <v>#REF!</v>
      </c>
      <c r="GC113" t="e">
        <f>IF(#REF!,"AAAAAH/Qr7g=",0)</f>
        <v>#REF!</v>
      </c>
      <c r="GD113" t="e">
        <f>AND(#REF!,"AAAAAH/Qr7k=")</f>
        <v>#REF!</v>
      </c>
      <c r="GE113" t="e">
        <f>AND(#REF!,"AAAAAH/Qr7o=")</f>
        <v>#REF!</v>
      </c>
      <c r="GF113" t="e">
        <f>AND(#REF!,"AAAAAH/Qr7s=")</f>
        <v>#REF!</v>
      </c>
      <c r="GG113" t="e">
        <f>AND(#REF!,"AAAAAH/Qr7w=")</f>
        <v>#REF!</v>
      </c>
      <c r="GH113" t="e">
        <f>AND(#REF!,"AAAAAH/Qr70=")</f>
        <v>#REF!</v>
      </c>
      <c r="GI113" t="e">
        <f>AND(#REF!,"AAAAAH/Qr74=")</f>
        <v>#REF!</v>
      </c>
      <c r="GJ113" t="e">
        <f>IF(#REF!,"AAAAAH/Qr78=",0)</f>
        <v>#REF!</v>
      </c>
      <c r="GK113" t="e">
        <f>AND(#REF!,"AAAAAH/Qr8A=")</f>
        <v>#REF!</v>
      </c>
      <c r="GL113" t="e">
        <f>AND(#REF!,"AAAAAH/Qr8E=")</f>
        <v>#REF!</v>
      </c>
      <c r="GM113" t="e">
        <f>AND(#REF!,"AAAAAH/Qr8I=")</f>
        <v>#REF!</v>
      </c>
      <c r="GN113" t="e">
        <f>AND(#REF!,"AAAAAH/Qr8M=")</f>
        <v>#REF!</v>
      </c>
      <c r="GO113" t="e">
        <f>AND(#REF!,"AAAAAH/Qr8Q=")</f>
        <v>#REF!</v>
      </c>
      <c r="GP113" t="e">
        <f>AND(#REF!,"AAAAAH/Qr8U=")</f>
        <v>#REF!</v>
      </c>
      <c r="GQ113" t="e">
        <f>IF(#REF!,"AAAAAH/Qr8Y=",0)</f>
        <v>#REF!</v>
      </c>
      <c r="GR113" t="e">
        <f>AND(#REF!,"AAAAAH/Qr8c=")</f>
        <v>#REF!</v>
      </c>
      <c r="GS113" t="e">
        <f>AND(#REF!,"AAAAAH/Qr8g=")</f>
        <v>#REF!</v>
      </c>
      <c r="GT113" t="e">
        <f>AND(#REF!,"AAAAAH/Qr8k=")</f>
        <v>#REF!</v>
      </c>
      <c r="GU113" t="e">
        <f>AND(#REF!,"AAAAAH/Qr8o=")</f>
        <v>#REF!</v>
      </c>
      <c r="GV113" t="e">
        <f>AND(#REF!,"AAAAAH/Qr8s=")</f>
        <v>#REF!</v>
      </c>
      <c r="GW113" t="e">
        <f>AND(#REF!,"AAAAAH/Qr8w=")</f>
        <v>#REF!</v>
      </c>
      <c r="GX113" t="e">
        <f>IF(#REF!,"AAAAAH/Qr80=",0)</f>
        <v>#REF!</v>
      </c>
      <c r="GY113" t="e">
        <f>AND(#REF!,"AAAAAH/Qr84=")</f>
        <v>#REF!</v>
      </c>
      <c r="GZ113" t="e">
        <f>AND(#REF!,"AAAAAH/Qr88=")</f>
        <v>#REF!</v>
      </c>
      <c r="HA113" t="e">
        <f>AND(#REF!,"AAAAAH/Qr9A=")</f>
        <v>#REF!</v>
      </c>
      <c r="HB113" t="e">
        <f>AND(#REF!,"AAAAAH/Qr9E=")</f>
        <v>#REF!</v>
      </c>
      <c r="HC113" t="e">
        <f>AND(#REF!,"AAAAAH/Qr9I=")</f>
        <v>#REF!</v>
      </c>
      <c r="HD113" t="e">
        <f>AND(#REF!,"AAAAAH/Qr9M=")</f>
        <v>#REF!</v>
      </c>
      <c r="HE113" t="e">
        <f>IF(#REF!,"AAAAAH/Qr9Q=",0)</f>
        <v>#REF!</v>
      </c>
      <c r="HF113" t="e">
        <f>AND(#REF!,"AAAAAH/Qr9U=")</f>
        <v>#REF!</v>
      </c>
      <c r="HG113" t="e">
        <f>AND(#REF!,"AAAAAH/Qr9Y=")</f>
        <v>#REF!</v>
      </c>
      <c r="HH113" t="e">
        <f>AND(#REF!,"AAAAAH/Qr9c=")</f>
        <v>#REF!</v>
      </c>
      <c r="HI113" t="e">
        <f>AND(#REF!,"AAAAAH/Qr9g=")</f>
        <v>#REF!</v>
      </c>
      <c r="HJ113" t="e">
        <f>AND(#REF!,"AAAAAH/Qr9k=")</f>
        <v>#REF!</v>
      </c>
      <c r="HK113" t="e">
        <f>AND(#REF!,"AAAAAH/Qr9o=")</f>
        <v>#REF!</v>
      </c>
      <c r="HL113" t="e">
        <f>IF(#REF!,"AAAAAH/Qr9s=",0)</f>
        <v>#REF!</v>
      </c>
      <c r="HM113" t="e">
        <f>AND(#REF!,"AAAAAH/Qr9w=")</f>
        <v>#REF!</v>
      </c>
      <c r="HN113" t="e">
        <f>AND(#REF!,"AAAAAH/Qr90=")</f>
        <v>#REF!</v>
      </c>
      <c r="HO113" t="e">
        <f>AND(#REF!,"AAAAAH/Qr94=")</f>
        <v>#REF!</v>
      </c>
      <c r="HP113" t="e">
        <f>AND(#REF!,"AAAAAH/Qr98=")</f>
        <v>#REF!</v>
      </c>
      <c r="HQ113" t="e">
        <f>AND(#REF!,"AAAAAH/Qr+A=")</f>
        <v>#REF!</v>
      </c>
      <c r="HR113" t="e">
        <f>AND(#REF!,"AAAAAH/Qr+E=")</f>
        <v>#REF!</v>
      </c>
      <c r="HS113" t="e">
        <f>IF(#REF!,"AAAAAH/Qr+I=",0)</f>
        <v>#REF!</v>
      </c>
      <c r="HT113" t="e">
        <f>AND(#REF!,"AAAAAH/Qr+M=")</f>
        <v>#REF!</v>
      </c>
      <c r="HU113" t="e">
        <f>AND(#REF!,"AAAAAH/Qr+Q=")</f>
        <v>#REF!</v>
      </c>
      <c r="HV113" t="e">
        <f>AND(#REF!,"AAAAAH/Qr+U=")</f>
        <v>#REF!</v>
      </c>
      <c r="HW113" t="e">
        <f>AND(#REF!,"AAAAAH/Qr+Y=")</f>
        <v>#REF!</v>
      </c>
      <c r="HX113" t="e">
        <f>AND(#REF!,"AAAAAH/Qr+c=")</f>
        <v>#REF!</v>
      </c>
      <c r="HY113" t="e">
        <f>AND(#REF!,"AAAAAH/Qr+g=")</f>
        <v>#REF!</v>
      </c>
      <c r="HZ113" t="e">
        <f>IF(#REF!,"AAAAAH/Qr+k=",0)</f>
        <v>#REF!</v>
      </c>
      <c r="IA113" t="e">
        <f>AND(#REF!,"AAAAAH/Qr+o=")</f>
        <v>#REF!</v>
      </c>
      <c r="IB113" t="e">
        <f>AND(#REF!,"AAAAAH/Qr+s=")</f>
        <v>#REF!</v>
      </c>
      <c r="IC113" t="e">
        <f>AND(#REF!,"AAAAAH/Qr+w=")</f>
        <v>#REF!</v>
      </c>
      <c r="ID113" t="e">
        <f>AND(#REF!,"AAAAAH/Qr+0=")</f>
        <v>#REF!</v>
      </c>
      <c r="IE113" t="e">
        <f>AND(#REF!,"AAAAAH/Qr+4=")</f>
        <v>#REF!</v>
      </c>
      <c r="IF113" t="e">
        <f>AND(#REF!,"AAAAAH/Qr+8=")</f>
        <v>#REF!</v>
      </c>
      <c r="IG113" t="e">
        <f>IF(#REF!,"AAAAAH/Qr/A=",0)</f>
        <v>#REF!</v>
      </c>
      <c r="IH113" t="e">
        <f>AND(#REF!,"AAAAAH/Qr/E=")</f>
        <v>#REF!</v>
      </c>
      <c r="II113" t="e">
        <f>AND(#REF!,"AAAAAH/Qr/I=")</f>
        <v>#REF!</v>
      </c>
      <c r="IJ113" t="e">
        <f>AND(#REF!,"AAAAAH/Qr/M=")</f>
        <v>#REF!</v>
      </c>
      <c r="IK113" t="e">
        <f>AND(#REF!,"AAAAAH/Qr/Q=")</f>
        <v>#REF!</v>
      </c>
      <c r="IL113" t="e">
        <f>AND(#REF!,"AAAAAH/Qr/U=")</f>
        <v>#REF!</v>
      </c>
      <c r="IM113" t="e">
        <f>AND(#REF!,"AAAAAH/Qr/Y=")</f>
        <v>#REF!</v>
      </c>
      <c r="IN113" t="e">
        <f>IF(#REF!,"AAAAAH/Qr/c=",0)</f>
        <v>#REF!</v>
      </c>
      <c r="IO113" t="e">
        <f>AND(#REF!,"AAAAAH/Qr/g=")</f>
        <v>#REF!</v>
      </c>
      <c r="IP113" t="e">
        <f>AND(#REF!,"AAAAAH/Qr/k=")</f>
        <v>#REF!</v>
      </c>
      <c r="IQ113" t="e">
        <f>AND(#REF!,"AAAAAH/Qr/o=")</f>
        <v>#REF!</v>
      </c>
      <c r="IR113" t="e">
        <f>AND(#REF!,"AAAAAH/Qr/s=")</f>
        <v>#REF!</v>
      </c>
      <c r="IS113" t="e">
        <f>AND(#REF!,"AAAAAH/Qr/w=")</f>
        <v>#REF!</v>
      </c>
      <c r="IT113" t="e">
        <f>AND(#REF!,"AAAAAH/Qr/0=")</f>
        <v>#REF!</v>
      </c>
      <c r="IU113" t="e">
        <f>IF(#REF!,"AAAAAH/Qr/4=",0)</f>
        <v>#REF!</v>
      </c>
      <c r="IV113" t="e">
        <f>AND(#REF!,"AAAAAH/Qr/8=")</f>
        <v>#REF!</v>
      </c>
    </row>
    <row r="114" spans="1:256" x14ac:dyDescent="0.15">
      <c r="A114" t="e">
        <f>AND(#REF!,"AAAAAG915gA=")</f>
        <v>#REF!</v>
      </c>
      <c r="B114" t="e">
        <f>AND(#REF!,"AAAAAG915gE=")</f>
        <v>#REF!</v>
      </c>
      <c r="C114" t="e">
        <f>AND(#REF!,"AAAAAG915gI=")</f>
        <v>#REF!</v>
      </c>
      <c r="D114" t="e">
        <f>AND(#REF!,"AAAAAG915gM=")</f>
        <v>#REF!</v>
      </c>
      <c r="E114" t="e">
        <f>AND(#REF!,"AAAAAG915gQ=")</f>
        <v>#REF!</v>
      </c>
      <c r="F114" t="e">
        <f>IF(#REF!,"AAAAAG915gU=",0)</f>
        <v>#REF!</v>
      </c>
      <c r="G114" t="e">
        <f>AND(#REF!,"AAAAAG915gY=")</f>
        <v>#REF!</v>
      </c>
      <c r="H114" t="e">
        <f>AND(#REF!,"AAAAAG915gc=")</f>
        <v>#REF!</v>
      </c>
      <c r="I114" t="e">
        <f>AND(#REF!,"AAAAAG915gg=")</f>
        <v>#REF!</v>
      </c>
      <c r="J114" t="e">
        <f>AND(#REF!,"AAAAAG915gk=")</f>
        <v>#REF!</v>
      </c>
      <c r="K114" t="e">
        <f>AND(#REF!,"AAAAAG915go=")</f>
        <v>#REF!</v>
      </c>
      <c r="L114" t="e">
        <f>AND(#REF!,"AAAAAG915gs=")</f>
        <v>#REF!</v>
      </c>
      <c r="M114" t="e">
        <f>IF(#REF!,"AAAAAG915gw=",0)</f>
        <v>#REF!</v>
      </c>
      <c r="N114" t="e">
        <f>AND(#REF!,"AAAAAG915g0=")</f>
        <v>#REF!</v>
      </c>
      <c r="O114" t="e">
        <f>AND(#REF!,"AAAAAG915g4=")</f>
        <v>#REF!</v>
      </c>
      <c r="P114" t="e">
        <f>AND(#REF!,"AAAAAG915g8=")</f>
        <v>#REF!</v>
      </c>
      <c r="Q114" t="e">
        <f>AND(#REF!,"AAAAAG915hA=")</f>
        <v>#REF!</v>
      </c>
      <c r="R114" t="e">
        <f>AND(#REF!,"AAAAAG915hE=")</f>
        <v>#REF!</v>
      </c>
      <c r="S114" t="e">
        <f>AND(#REF!,"AAAAAG915hI=")</f>
        <v>#REF!</v>
      </c>
      <c r="T114" t="e">
        <f>IF(#REF!,"AAAAAG915hM=",0)</f>
        <v>#REF!</v>
      </c>
      <c r="U114" t="e">
        <f>AND(#REF!,"AAAAAG915hQ=")</f>
        <v>#REF!</v>
      </c>
      <c r="V114" t="e">
        <f>AND(#REF!,"AAAAAG915hU=")</f>
        <v>#REF!</v>
      </c>
      <c r="W114" t="e">
        <f>AND(#REF!,"AAAAAG915hY=")</f>
        <v>#REF!</v>
      </c>
      <c r="X114" t="e">
        <f>AND(#REF!,"AAAAAG915hc=")</f>
        <v>#REF!</v>
      </c>
      <c r="Y114" t="e">
        <f>AND(#REF!,"AAAAAG915hg=")</f>
        <v>#REF!</v>
      </c>
      <c r="Z114" t="e">
        <f>AND(#REF!,"AAAAAG915hk=")</f>
        <v>#REF!</v>
      </c>
      <c r="AA114" t="e">
        <f>IF(#REF!,"AAAAAG915ho=",0)</f>
        <v>#REF!</v>
      </c>
      <c r="AB114" t="e">
        <f>AND(#REF!,"AAAAAG915hs=")</f>
        <v>#REF!</v>
      </c>
      <c r="AC114" t="e">
        <f>AND(#REF!,"AAAAAG915hw=")</f>
        <v>#REF!</v>
      </c>
      <c r="AD114" t="e">
        <f>AND(#REF!,"AAAAAG915h0=")</f>
        <v>#REF!</v>
      </c>
      <c r="AE114" t="e">
        <f>AND(#REF!,"AAAAAG915h4=")</f>
        <v>#REF!</v>
      </c>
      <c r="AF114" t="e">
        <f>AND(#REF!,"AAAAAG915h8=")</f>
        <v>#REF!</v>
      </c>
      <c r="AG114" t="e">
        <f>AND(#REF!,"AAAAAG915iA=")</f>
        <v>#REF!</v>
      </c>
      <c r="AH114" t="e">
        <f>IF(#REF!,"AAAAAG915iE=",0)</f>
        <v>#REF!</v>
      </c>
      <c r="AI114" t="e">
        <f>AND(#REF!,"AAAAAG915iI=")</f>
        <v>#REF!</v>
      </c>
      <c r="AJ114" t="e">
        <f>AND(#REF!,"AAAAAG915iM=")</f>
        <v>#REF!</v>
      </c>
      <c r="AK114" t="e">
        <f>AND(#REF!,"AAAAAG915iQ=")</f>
        <v>#REF!</v>
      </c>
      <c r="AL114" t="e">
        <f>AND(#REF!,"AAAAAG915iU=")</f>
        <v>#REF!</v>
      </c>
      <c r="AM114" t="e">
        <f>AND(#REF!,"AAAAAG915iY=")</f>
        <v>#REF!</v>
      </c>
      <c r="AN114" t="e">
        <f>AND(#REF!,"AAAAAG915ic=")</f>
        <v>#REF!</v>
      </c>
      <c r="AO114" t="e">
        <f>IF(#REF!,"AAAAAG915ig=",0)</f>
        <v>#REF!</v>
      </c>
      <c r="AP114" t="e">
        <f>AND(#REF!,"AAAAAG915ik=")</f>
        <v>#REF!</v>
      </c>
      <c r="AQ114" t="e">
        <f>AND(#REF!,"AAAAAG915io=")</f>
        <v>#REF!</v>
      </c>
      <c r="AR114" t="e">
        <f>AND(#REF!,"AAAAAG915is=")</f>
        <v>#REF!</v>
      </c>
      <c r="AS114" t="e">
        <f>AND(#REF!,"AAAAAG915iw=")</f>
        <v>#REF!</v>
      </c>
      <c r="AT114" t="e">
        <f>AND(#REF!,"AAAAAG915i0=")</f>
        <v>#REF!</v>
      </c>
      <c r="AU114" t="e">
        <f>AND(#REF!,"AAAAAG915i4=")</f>
        <v>#REF!</v>
      </c>
      <c r="AV114" t="e">
        <f>IF(#REF!,"AAAAAG915i8=",0)</f>
        <v>#REF!</v>
      </c>
      <c r="AW114" t="e">
        <f>AND(#REF!,"AAAAAG915jA=")</f>
        <v>#REF!</v>
      </c>
      <c r="AX114" t="e">
        <f>AND(#REF!,"AAAAAG915jE=")</f>
        <v>#REF!</v>
      </c>
      <c r="AY114" t="e">
        <f>AND(#REF!,"AAAAAG915jI=")</f>
        <v>#REF!</v>
      </c>
      <c r="AZ114" t="e">
        <f>AND(#REF!,"AAAAAG915jM=")</f>
        <v>#REF!</v>
      </c>
      <c r="BA114" t="e">
        <f>AND(#REF!,"AAAAAG915jQ=")</f>
        <v>#REF!</v>
      </c>
      <c r="BB114" t="e">
        <f>AND(#REF!,"AAAAAG915jU=")</f>
        <v>#REF!</v>
      </c>
      <c r="BC114" t="e">
        <f>IF(#REF!,"AAAAAG915jY=",0)</f>
        <v>#REF!</v>
      </c>
      <c r="BD114" t="e">
        <f>AND(#REF!,"AAAAAG915jc=")</f>
        <v>#REF!</v>
      </c>
      <c r="BE114" t="e">
        <f>AND(#REF!,"AAAAAG915jg=")</f>
        <v>#REF!</v>
      </c>
      <c r="BF114" t="e">
        <f>AND(#REF!,"AAAAAG915jk=")</f>
        <v>#REF!</v>
      </c>
      <c r="BG114" t="e">
        <f>AND(#REF!,"AAAAAG915jo=")</f>
        <v>#REF!</v>
      </c>
      <c r="BH114" t="e">
        <f>AND(#REF!,"AAAAAG915js=")</f>
        <v>#REF!</v>
      </c>
      <c r="BI114" t="e">
        <f>AND(#REF!,"AAAAAG915jw=")</f>
        <v>#REF!</v>
      </c>
      <c r="BJ114" t="e">
        <f>IF(#REF!,"AAAAAG915j0=",0)</f>
        <v>#REF!</v>
      </c>
      <c r="BK114" t="e">
        <f>AND(#REF!,"AAAAAG915j4=")</f>
        <v>#REF!</v>
      </c>
      <c r="BL114" t="e">
        <f>AND(#REF!,"AAAAAG915j8=")</f>
        <v>#REF!</v>
      </c>
      <c r="BM114" t="e">
        <f>AND(#REF!,"AAAAAG915kA=")</f>
        <v>#REF!</v>
      </c>
      <c r="BN114" t="e">
        <f>AND(#REF!,"AAAAAG915kE=")</f>
        <v>#REF!</v>
      </c>
      <c r="BO114" t="e">
        <f>AND(#REF!,"AAAAAG915kI=")</f>
        <v>#REF!</v>
      </c>
      <c r="BP114" t="e">
        <f>AND(#REF!,"AAAAAG915kM=")</f>
        <v>#REF!</v>
      </c>
      <c r="BQ114" t="e">
        <f>IF(#REF!,"AAAAAG915kQ=",0)</f>
        <v>#REF!</v>
      </c>
      <c r="BR114" t="e">
        <f>AND(#REF!,"AAAAAG915kU=")</f>
        <v>#REF!</v>
      </c>
      <c r="BS114" t="e">
        <f>AND(#REF!,"AAAAAG915kY=")</f>
        <v>#REF!</v>
      </c>
      <c r="BT114" t="e">
        <f>AND(#REF!,"AAAAAG915kc=")</f>
        <v>#REF!</v>
      </c>
      <c r="BU114" t="e">
        <f>AND(#REF!,"AAAAAG915kg=")</f>
        <v>#REF!</v>
      </c>
      <c r="BV114" t="e">
        <f>AND(#REF!,"AAAAAG915kk=")</f>
        <v>#REF!</v>
      </c>
      <c r="BW114" t="e">
        <f>AND(#REF!,"AAAAAG915ko=")</f>
        <v>#REF!</v>
      </c>
      <c r="BX114" t="e">
        <f>IF(#REF!,"AAAAAG915ks=",0)</f>
        <v>#REF!</v>
      </c>
      <c r="BY114" t="e">
        <f>AND(#REF!,"AAAAAG915kw=")</f>
        <v>#REF!</v>
      </c>
      <c r="BZ114" t="e">
        <f>AND(#REF!,"AAAAAG915k0=")</f>
        <v>#REF!</v>
      </c>
      <c r="CA114" t="e">
        <f>AND(#REF!,"AAAAAG915k4=")</f>
        <v>#REF!</v>
      </c>
      <c r="CB114" t="e">
        <f>AND(#REF!,"AAAAAG915k8=")</f>
        <v>#REF!</v>
      </c>
      <c r="CC114" t="e">
        <f>AND(#REF!,"AAAAAG915lA=")</f>
        <v>#REF!</v>
      </c>
      <c r="CD114" t="e">
        <f>AND(#REF!,"AAAAAG915lE=")</f>
        <v>#REF!</v>
      </c>
      <c r="CE114" t="e">
        <f>IF(#REF!,"AAAAAG915lI=",0)</f>
        <v>#REF!</v>
      </c>
      <c r="CF114" t="e">
        <f>AND(#REF!,"AAAAAG915lM=")</f>
        <v>#REF!</v>
      </c>
      <c r="CG114" t="e">
        <f>AND(#REF!,"AAAAAG915lQ=")</f>
        <v>#REF!</v>
      </c>
      <c r="CH114" t="e">
        <f>AND(#REF!,"AAAAAG915lU=")</f>
        <v>#REF!</v>
      </c>
      <c r="CI114" t="e">
        <f>AND(#REF!,"AAAAAG915lY=")</f>
        <v>#REF!</v>
      </c>
      <c r="CJ114" t="e">
        <f>AND(#REF!,"AAAAAG915lc=")</f>
        <v>#REF!</v>
      </c>
      <c r="CK114" t="e">
        <f>AND(#REF!,"AAAAAG915lg=")</f>
        <v>#REF!</v>
      </c>
      <c r="CL114" t="e">
        <f>IF(#REF!,"AAAAAG915lk=",0)</f>
        <v>#REF!</v>
      </c>
      <c r="CM114" t="e">
        <f>AND(#REF!,"AAAAAG915lo=")</f>
        <v>#REF!</v>
      </c>
      <c r="CN114" t="e">
        <f>AND(#REF!,"AAAAAG915ls=")</f>
        <v>#REF!</v>
      </c>
      <c r="CO114" t="e">
        <f>AND(#REF!,"AAAAAG915lw=")</f>
        <v>#REF!</v>
      </c>
      <c r="CP114" t="e">
        <f>AND(#REF!,"AAAAAG915l0=")</f>
        <v>#REF!</v>
      </c>
      <c r="CQ114" t="e">
        <f>AND(#REF!,"AAAAAG915l4=")</f>
        <v>#REF!</v>
      </c>
      <c r="CR114" t="e">
        <f>AND(#REF!,"AAAAAG915l8=")</f>
        <v>#REF!</v>
      </c>
      <c r="CS114" t="e">
        <f>IF(#REF!,"AAAAAG915mA=",0)</f>
        <v>#REF!</v>
      </c>
      <c r="CT114" t="e">
        <f>AND(#REF!,"AAAAAG915mE=")</f>
        <v>#REF!</v>
      </c>
      <c r="CU114" t="e">
        <f>AND(#REF!,"AAAAAG915mI=")</f>
        <v>#REF!</v>
      </c>
      <c r="CV114" t="e">
        <f>AND(#REF!,"AAAAAG915mM=")</f>
        <v>#REF!</v>
      </c>
      <c r="CW114" t="e">
        <f>AND(#REF!,"AAAAAG915mQ=")</f>
        <v>#REF!</v>
      </c>
      <c r="CX114" t="e">
        <f>AND(#REF!,"AAAAAG915mU=")</f>
        <v>#REF!</v>
      </c>
      <c r="CY114" t="e">
        <f>AND(#REF!,"AAAAAG915mY=")</f>
        <v>#REF!</v>
      </c>
      <c r="CZ114" t="e">
        <f>IF(#REF!,"AAAAAG915mc=",0)</f>
        <v>#REF!</v>
      </c>
      <c r="DA114" t="e">
        <f>AND(#REF!,"AAAAAG915mg=")</f>
        <v>#REF!</v>
      </c>
      <c r="DB114" t="e">
        <f>AND(#REF!,"AAAAAG915mk=")</f>
        <v>#REF!</v>
      </c>
      <c r="DC114" t="e">
        <f>AND(#REF!,"AAAAAG915mo=")</f>
        <v>#REF!</v>
      </c>
      <c r="DD114" t="e">
        <f>AND(#REF!,"AAAAAG915ms=")</f>
        <v>#REF!</v>
      </c>
      <c r="DE114" t="e">
        <f>AND(#REF!,"AAAAAG915mw=")</f>
        <v>#REF!</v>
      </c>
      <c r="DF114" t="e">
        <f>AND(#REF!,"AAAAAG915m0=")</f>
        <v>#REF!</v>
      </c>
      <c r="DG114" t="e">
        <f>IF(#REF!,"AAAAAG915m4=",0)</f>
        <v>#REF!</v>
      </c>
      <c r="DH114" t="e">
        <f>IF(#REF!,"AAAAAG915m8=",0)</f>
        <v>#REF!</v>
      </c>
      <c r="DI114" t="e">
        <f>IF(#REF!,"AAAAAG915nA=",0)</f>
        <v>#REF!</v>
      </c>
      <c r="DJ114" t="e">
        <f>IF(#REF!,"AAAAAG915nE=",0)</f>
        <v>#REF!</v>
      </c>
      <c r="DK114" t="e">
        <f>IF(#REF!,"AAAAAG915nI=",0)</f>
        <v>#REF!</v>
      </c>
      <c r="DL114" t="e">
        <f>IF(#REF!,"AAAAAG915nM=",0)</f>
        <v>#REF!</v>
      </c>
      <c r="DM114" t="e">
        <f>IF(#REF!,"AAAAAG915nQ=",0)</f>
        <v>#REF!</v>
      </c>
      <c r="DN114" t="e">
        <f>AND(#REF!,"AAAAAG915nU=")</f>
        <v>#REF!</v>
      </c>
      <c r="DO114" t="e">
        <f>AND(#REF!,"AAAAAG915nY=")</f>
        <v>#REF!</v>
      </c>
      <c r="DP114" t="e">
        <f>AND(#REF!,"AAAAAG915nc=")</f>
        <v>#REF!</v>
      </c>
      <c r="DQ114" t="e">
        <f>AND(#REF!,"AAAAAG915ng=")</f>
        <v>#REF!</v>
      </c>
      <c r="DR114" t="e">
        <f>AND(#REF!,"AAAAAG915nk=")</f>
        <v>#REF!</v>
      </c>
      <c r="DS114" t="e">
        <f>AND(#REF!,"AAAAAG915no=")</f>
        <v>#REF!</v>
      </c>
      <c r="DT114" t="e">
        <f>IF(#REF!,"AAAAAG915ns=",0)</f>
        <v>#REF!</v>
      </c>
      <c r="DU114" t="e">
        <f>AND(#REF!,"AAAAAG915nw=")</f>
        <v>#REF!</v>
      </c>
      <c r="DV114" t="e">
        <f>AND(#REF!,"AAAAAG915n0=")</f>
        <v>#REF!</v>
      </c>
      <c r="DW114" t="e">
        <f>AND(#REF!,"AAAAAG915n4=")</f>
        <v>#REF!</v>
      </c>
      <c r="DX114" t="e">
        <f>AND(#REF!,"AAAAAG915n8=")</f>
        <v>#REF!</v>
      </c>
      <c r="DY114" t="e">
        <f>AND(#REF!,"AAAAAG915oA=")</f>
        <v>#REF!</v>
      </c>
      <c r="DZ114" t="e">
        <f>AND(#REF!,"AAAAAG915oE=")</f>
        <v>#REF!</v>
      </c>
      <c r="EA114" t="e">
        <f>IF(#REF!,"AAAAAG915oI=",0)</f>
        <v>#REF!</v>
      </c>
      <c r="EB114" t="e">
        <f>AND(#REF!,"AAAAAG915oM=")</f>
        <v>#REF!</v>
      </c>
      <c r="EC114" t="e">
        <f>AND(#REF!,"AAAAAG915oQ=")</f>
        <v>#REF!</v>
      </c>
      <c r="ED114" t="e">
        <f>AND(#REF!,"AAAAAG915oU=")</f>
        <v>#REF!</v>
      </c>
      <c r="EE114" t="e">
        <f>AND(#REF!,"AAAAAG915oY=")</f>
        <v>#REF!</v>
      </c>
      <c r="EF114" t="e">
        <f>AND(#REF!,"AAAAAG915oc=")</f>
        <v>#REF!</v>
      </c>
      <c r="EG114" t="e">
        <f>AND(#REF!,"AAAAAG915og=")</f>
        <v>#REF!</v>
      </c>
      <c r="EH114" t="e">
        <f>IF(#REF!,"AAAAAG915ok=",0)</f>
        <v>#REF!</v>
      </c>
      <c r="EI114" t="e">
        <f>AND(#REF!,"AAAAAG915oo=")</f>
        <v>#REF!</v>
      </c>
      <c r="EJ114" t="e">
        <f>AND(#REF!,"AAAAAG915os=")</f>
        <v>#REF!</v>
      </c>
      <c r="EK114" t="e">
        <f>AND(#REF!,"AAAAAG915ow=")</f>
        <v>#REF!</v>
      </c>
      <c r="EL114" t="e">
        <f>AND(#REF!,"AAAAAG915o0=")</f>
        <v>#REF!</v>
      </c>
      <c r="EM114" t="e">
        <f>AND(#REF!,"AAAAAG915o4=")</f>
        <v>#REF!</v>
      </c>
      <c r="EN114" t="e">
        <f>AND(#REF!,"AAAAAG915o8=")</f>
        <v>#REF!</v>
      </c>
      <c r="EO114" t="e">
        <f>IF(#REF!,"AAAAAG915pA=",0)</f>
        <v>#REF!</v>
      </c>
      <c r="EP114" t="e">
        <f>AND(#REF!,"AAAAAG915pE=")</f>
        <v>#REF!</v>
      </c>
      <c r="EQ114" t="e">
        <f>AND(#REF!,"AAAAAG915pI=")</f>
        <v>#REF!</v>
      </c>
      <c r="ER114" t="e">
        <f>AND(#REF!,"AAAAAG915pM=")</f>
        <v>#REF!</v>
      </c>
      <c r="ES114" t="e">
        <f>AND(#REF!,"AAAAAG915pQ=")</f>
        <v>#REF!</v>
      </c>
      <c r="ET114" t="e">
        <f>AND(#REF!,"AAAAAG915pU=")</f>
        <v>#REF!</v>
      </c>
      <c r="EU114" t="e">
        <f>AND(#REF!,"AAAAAG915pY=")</f>
        <v>#REF!</v>
      </c>
      <c r="EV114" t="e">
        <f>IF(#REF!,"AAAAAG915pc=",0)</f>
        <v>#REF!</v>
      </c>
      <c r="EW114" t="e">
        <f>AND(#REF!,"AAAAAG915pg=")</f>
        <v>#REF!</v>
      </c>
      <c r="EX114" t="e">
        <f>AND(#REF!,"AAAAAG915pk=")</f>
        <v>#REF!</v>
      </c>
      <c r="EY114" t="e">
        <f>AND(#REF!,"AAAAAG915po=")</f>
        <v>#REF!</v>
      </c>
      <c r="EZ114" t="e">
        <f>AND(#REF!,"AAAAAG915ps=")</f>
        <v>#REF!</v>
      </c>
      <c r="FA114" t="e">
        <f>AND(#REF!,"AAAAAG915pw=")</f>
        <v>#REF!</v>
      </c>
      <c r="FB114" t="e">
        <f>AND(#REF!,"AAAAAG915p0=")</f>
        <v>#REF!</v>
      </c>
      <c r="FC114" t="e">
        <f>IF(#REF!,"AAAAAG915p4=",0)</f>
        <v>#REF!</v>
      </c>
      <c r="FD114" t="e">
        <f>AND(#REF!,"AAAAAG915p8=")</f>
        <v>#REF!</v>
      </c>
      <c r="FE114" t="e">
        <f>AND(#REF!,"AAAAAG915qA=")</f>
        <v>#REF!</v>
      </c>
      <c r="FF114" t="e">
        <f>AND(#REF!,"AAAAAG915qE=")</f>
        <v>#REF!</v>
      </c>
      <c r="FG114" t="e">
        <f>AND(#REF!,"AAAAAG915qI=")</f>
        <v>#REF!</v>
      </c>
      <c r="FH114" t="e">
        <f>AND(#REF!,"AAAAAG915qM=")</f>
        <v>#REF!</v>
      </c>
      <c r="FI114" t="e">
        <f>AND(#REF!,"AAAAAG915qQ=")</f>
        <v>#REF!</v>
      </c>
      <c r="FJ114" t="e">
        <f>IF(#REF!,"AAAAAG915qU=",0)</f>
        <v>#REF!</v>
      </c>
      <c r="FK114" t="e">
        <f>AND(#REF!,"AAAAAG915qY=")</f>
        <v>#REF!</v>
      </c>
      <c r="FL114" t="e">
        <f>AND(#REF!,"AAAAAG915qc=")</f>
        <v>#REF!</v>
      </c>
      <c r="FM114" t="e">
        <f>AND(#REF!,"AAAAAG915qg=")</f>
        <v>#REF!</v>
      </c>
      <c r="FN114" t="e">
        <f>AND(#REF!,"AAAAAG915qk=")</f>
        <v>#REF!</v>
      </c>
      <c r="FO114" t="e">
        <f>AND(#REF!,"AAAAAG915qo=")</f>
        <v>#REF!</v>
      </c>
      <c r="FP114" t="e">
        <f>AND(#REF!,"AAAAAG915qs=")</f>
        <v>#REF!</v>
      </c>
      <c r="FQ114" t="e">
        <f>IF(#REF!,"AAAAAG915qw=",0)</f>
        <v>#REF!</v>
      </c>
      <c r="FR114" t="e">
        <f>AND(#REF!,"AAAAAG915q0=")</f>
        <v>#REF!</v>
      </c>
      <c r="FS114" t="e">
        <f>AND(#REF!,"AAAAAG915q4=")</f>
        <v>#REF!</v>
      </c>
      <c r="FT114" t="e">
        <f>AND(#REF!,"AAAAAG915q8=")</f>
        <v>#REF!</v>
      </c>
      <c r="FU114" t="e">
        <f>AND(#REF!,"AAAAAG915rA=")</f>
        <v>#REF!</v>
      </c>
      <c r="FV114" t="e">
        <f>AND(#REF!,"AAAAAG915rE=")</f>
        <v>#REF!</v>
      </c>
      <c r="FW114" t="e">
        <f>AND(#REF!,"AAAAAG915rI=")</f>
        <v>#REF!</v>
      </c>
      <c r="FX114" t="e">
        <f>IF(#REF!,"AAAAAG915rM=",0)</f>
        <v>#REF!</v>
      </c>
      <c r="FY114" t="e">
        <f>AND(#REF!,"AAAAAG915rQ=")</f>
        <v>#REF!</v>
      </c>
      <c r="FZ114" t="e">
        <f>AND(#REF!,"AAAAAG915rU=")</f>
        <v>#REF!</v>
      </c>
      <c r="GA114" t="e">
        <f>AND(#REF!,"AAAAAG915rY=")</f>
        <v>#REF!</v>
      </c>
      <c r="GB114" t="e">
        <f>AND(#REF!,"AAAAAG915rc=")</f>
        <v>#REF!</v>
      </c>
      <c r="GC114" t="e">
        <f>AND(#REF!,"AAAAAG915rg=")</f>
        <v>#REF!</v>
      </c>
      <c r="GD114" t="e">
        <f>AND(#REF!,"AAAAAG915rk=")</f>
        <v>#REF!</v>
      </c>
      <c r="GE114" t="e">
        <f>IF(#REF!,"AAAAAG915ro=",0)</f>
        <v>#REF!</v>
      </c>
      <c r="GF114" t="e">
        <f>AND(#REF!,"AAAAAG915rs=")</f>
        <v>#REF!</v>
      </c>
      <c r="GG114" t="e">
        <f>AND(#REF!,"AAAAAG915rw=")</f>
        <v>#REF!</v>
      </c>
      <c r="GH114" t="e">
        <f>AND(#REF!,"AAAAAG915r0=")</f>
        <v>#REF!</v>
      </c>
      <c r="GI114" t="e">
        <f>AND(#REF!,"AAAAAG915r4=")</f>
        <v>#REF!</v>
      </c>
      <c r="GJ114" t="e">
        <f>AND(#REF!,"AAAAAG915r8=")</f>
        <v>#REF!</v>
      </c>
      <c r="GK114" t="e">
        <f>AND(#REF!,"AAAAAG915sA=")</f>
        <v>#REF!</v>
      </c>
      <c r="GL114" t="e">
        <f>IF(#REF!,"AAAAAG915sE=",0)</f>
        <v>#REF!</v>
      </c>
      <c r="GM114" t="e">
        <f>AND(#REF!,"AAAAAG915sI=")</f>
        <v>#REF!</v>
      </c>
      <c r="GN114" t="e">
        <f>AND(#REF!,"AAAAAG915sM=")</f>
        <v>#REF!</v>
      </c>
      <c r="GO114" t="e">
        <f>AND(#REF!,"AAAAAG915sQ=")</f>
        <v>#REF!</v>
      </c>
      <c r="GP114" t="e">
        <f>AND(#REF!,"AAAAAG915sU=")</f>
        <v>#REF!</v>
      </c>
      <c r="GQ114" t="e">
        <f>AND(#REF!,"AAAAAG915sY=")</f>
        <v>#REF!</v>
      </c>
      <c r="GR114" t="e">
        <f>AND(#REF!,"AAAAAG915sc=")</f>
        <v>#REF!</v>
      </c>
      <c r="GS114" t="e">
        <f>IF(#REF!,"AAAAAG915sg=",0)</f>
        <v>#REF!</v>
      </c>
      <c r="GT114" t="e">
        <f>AND(#REF!,"AAAAAG915sk=")</f>
        <v>#REF!</v>
      </c>
      <c r="GU114" t="e">
        <f>AND(#REF!,"AAAAAG915so=")</f>
        <v>#REF!</v>
      </c>
      <c r="GV114" t="e">
        <f>AND(#REF!,"AAAAAG915ss=")</f>
        <v>#REF!</v>
      </c>
      <c r="GW114" t="e">
        <f>AND(#REF!,"AAAAAG915sw=")</f>
        <v>#REF!</v>
      </c>
      <c r="GX114" t="e">
        <f>AND(#REF!,"AAAAAG915s0=")</f>
        <v>#REF!</v>
      </c>
      <c r="GY114" t="e">
        <f>AND(#REF!,"AAAAAG915s4=")</f>
        <v>#REF!</v>
      </c>
      <c r="GZ114" t="e">
        <f>IF(#REF!,"AAAAAG915s8=",0)</f>
        <v>#REF!</v>
      </c>
      <c r="HA114" t="e">
        <f>AND(#REF!,"AAAAAG915tA=")</f>
        <v>#REF!</v>
      </c>
      <c r="HB114" t="e">
        <f>AND(#REF!,"AAAAAG915tE=")</f>
        <v>#REF!</v>
      </c>
      <c r="HC114" t="e">
        <f>AND(#REF!,"AAAAAG915tI=")</f>
        <v>#REF!</v>
      </c>
      <c r="HD114" t="e">
        <f>AND(#REF!,"AAAAAG915tM=")</f>
        <v>#REF!</v>
      </c>
      <c r="HE114" t="e">
        <f>AND(#REF!,"AAAAAG915tQ=")</f>
        <v>#REF!</v>
      </c>
      <c r="HF114" t="e">
        <f>AND(#REF!,"AAAAAG915tU=")</f>
        <v>#REF!</v>
      </c>
      <c r="HG114" t="e">
        <f>IF(#REF!,"AAAAAG915tY=",0)</f>
        <v>#REF!</v>
      </c>
      <c r="HH114" t="e">
        <f>AND(#REF!,"AAAAAG915tc=")</f>
        <v>#REF!</v>
      </c>
      <c r="HI114" t="e">
        <f>AND(#REF!,"AAAAAG915tg=")</f>
        <v>#REF!</v>
      </c>
      <c r="HJ114" t="e">
        <f>AND(#REF!,"AAAAAG915tk=")</f>
        <v>#REF!</v>
      </c>
      <c r="HK114" t="e">
        <f>AND(#REF!,"AAAAAG915to=")</f>
        <v>#REF!</v>
      </c>
      <c r="HL114" t="e">
        <f>AND(#REF!,"AAAAAG915ts=")</f>
        <v>#REF!</v>
      </c>
      <c r="HM114" t="e">
        <f>AND(#REF!,"AAAAAG915tw=")</f>
        <v>#REF!</v>
      </c>
      <c r="HN114" t="e">
        <f>IF(#REF!,"AAAAAG915t0=",0)</f>
        <v>#REF!</v>
      </c>
      <c r="HO114" t="e">
        <f>AND(#REF!,"AAAAAG915t4=")</f>
        <v>#REF!</v>
      </c>
      <c r="HP114" t="e">
        <f>AND(#REF!,"AAAAAG915t8=")</f>
        <v>#REF!</v>
      </c>
      <c r="HQ114" t="e">
        <f>AND(#REF!,"AAAAAG915uA=")</f>
        <v>#REF!</v>
      </c>
      <c r="HR114" t="e">
        <f>AND(#REF!,"AAAAAG915uE=")</f>
        <v>#REF!</v>
      </c>
      <c r="HS114" t="e">
        <f>AND(#REF!,"AAAAAG915uI=")</f>
        <v>#REF!</v>
      </c>
      <c r="HT114" t="e">
        <f>AND(#REF!,"AAAAAG915uM=")</f>
        <v>#REF!</v>
      </c>
      <c r="HU114" t="e">
        <f>IF(#REF!,"AAAAAG915uQ=",0)</f>
        <v>#REF!</v>
      </c>
      <c r="HV114" t="e">
        <f>AND(#REF!,"AAAAAG915uU=")</f>
        <v>#REF!</v>
      </c>
      <c r="HW114" t="e">
        <f>AND(#REF!,"AAAAAG915uY=")</f>
        <v>#REF!</v>
      </c>
      <c r="HX114" t="e">
        <f>AND(#REF!,"AAAAAG915uc=")</f>
        <v>#REF!</v>
      </c>
      <c r="HY114" t="e">
        <f>AND(#REF!,"AAAAAG915ug=")</f>
        <v>#REF!</v>
      </c>
      <c r="HZ114" t="e">
        <f>AND(#REF!,"AAAAAG915uk=")</f>
        <v>#REF!</v>
      </c>
      <c r="IA114" t="e">
        <f>AND(#REF!,"AAAAAG915uo=")</f>
        <v>#REF!</v>
      </c>
      <c r="IB114" t="e">
        <f>IF(#REF!,"AAAAAG915us=",0)</f>
        <v>#REF!</v>
      </c>
      <c r="IC114" t="e">
        <f>AND(#REF!,"AAAAAG915uw=")</f>
        <v>#REF!</v>
      </c>
      <c r="ID114" t="e">
        <f>AND(#REF!,"AAAAAG915u0=")</f>
        <v>#REF!</v>
      </c>
      <c r="IE114" t="e">
        <f>AND(#REF!,"AAAAAG915u4=")</f>
        <v>#REF!</v>
      </c>
      <c r="IF114" t="e">
        <f>AND(#REF!,"AAAAAG915u8=")</f>
        <v>#REF!</v>
      </c>
      <c r="IG114" t="e">
        <f>AND(#REF!,"AAAAAG915vA=")</f>
        <v>#REF!</v>
      </c>
      <c r="IH114" t="e">
        <f>AND(#REF!,"AAAAAG915vE=")</f>
        <v>#REF!</v>
      </c>
      <c r="II114" t="e">
        <f>IF(#REF!,"AAAAAG915vI=",0)</f>
        <v>#REF!</v>
      </c>
      <c r="IJ114" t="e">
        <f>AND(#REF!,"AAAAAG915vM=")</f>
        <v>#REF!</v>
      </c>
      <c r="IK114" t="e">
        <f>AND(#REF!,"AAAAAG915vQ=")</f>
        <v>#REF!</v>
      </c>
      <c r="IL114" t="e">
        <f>AND(#REF!,"AAAAAG915vU=")</f>
        <v>#REF!</v>
      </c>
      <c r="IM114" t="e">
        <f>AND(#REF!,"AAAAAG915vY=")</f>
        <v>#REF!</v>
      </c>
      <c r="IN114" t="e">
        <f>AND(#REF!,"AAAAAG915vc=")</f>
        <v>#REF!</v>
      </c>
      <c r="IO114" t="e">
        <f>AND(#REF!,"AAAAAG915vg=")</f>
        <v>#REF!</v>
      </c>
      <c r="IP114" t="e">
        <f>IF(#REF!,"AAAAAG915vk=",0)</f>
        <v>#REF!</v>
      </c>
      <c r="IQ114" t="e">
        <f>AND(#REF!,"AAAAAG915vo=")</f>
        <v>#REF!</v>
      </c>
      <c r="IR114" t="e">
        <f>AND(#REF!,"AAAAAG915vs=")</f>
        <v>#REF!</v>
      </c>
      <c r="IS114" t="e">
        <f>AND(#REF!,"AAAAAG915vw=")</f>
        <v>#REF!</v>
      </c>
      <c r="IT114" t="e">
        <f>AND(#REF!,"AAAAAG915v0=")</f>
        <v>#REF!</v>
      </c>
      <c r="IU114" t="e">
        <f>AND(#REF!,"AAAAAG915v4=")</f>
        <v>#REF!</v>
      </c>
      <c r="IV114" t="e">
        <f>AND(#REF!,"AAAAAG915v8=")</f>
        <v>#REF!</v>
      </c>
    </row>
    <row r="115" spans="1:256" x14ac:dyDescent="0.15">
      <c r="A115" t="e">
        <f>IF(#REF!,"AAAAAF2s9wA=",0)</f>
        <v>#REF!</v>
      </c>
      <c r="B115" t="e">
        <f>AND(#REF!,"AAAAAF2s9wE=")</f>
        <v>#REF!</v>
      </c>
      <c r="C115" t="e">
        <f>AND(#REF!,"AAAAAF2s9wI=")</f>
        <v>#REF!</v>
      </c>
      <c r="D115" t="e">
        <f>AND(#REF!,"AAAAAF2s9wM=")</f>
        <v>#REF!</v>
      </c>
      <c r="E115" t="e">
        <f>AND(#REF!,"AAAAAF2s9wQ=")</f>
        <v>#REF!</v>
      </c>
      <c r="F115" t="e">
        <f>AND(#REF!,"AAAAAF2s9wU=")</f>
        <v>#REF!</v>
      </c>
      <c r="G115" t="e">
        <f>AND(#REF!,"AAAAAF2s9wY=")</f>
        <v>#REF!</v>
      </c>
      <c r="H115" t="e">
        <f>IF(#REF!,"AAAAAF2s9wc=",0)</f>
        <v>#REF!</v>
      </c>
      <c r="I115" t="e">
        <f>AND(#REF!,"AAAAAF2s9wg=")</f>
        <v>#REF!</v>
      </c>
      <c r="J115" t="e">
        <f>AND(#REF!,"AAAAAF2s9wk=")</f>
        <v>#REF!</v>
      </c>
      <c r="K115" t="e">
        <f>AND(#REF!,"AAAAAF2s9wo=")</f>
        <v>#REF!</v>
      </c>
      <c r="L115" t="e">
        <f>AND(#REF!,"AAAAAF2s9ws=")</f>
        <v>#REF!</v>
      </c>
      <c r="M115" t="e">
        <f>AND(#REF!,"AAAAAF2s9ww=")</f>
        <v>#REF!</v>
      </c>
      <c r="N115" t="e">
        <f>AND(#REF!,"AAAAAF2s9w0=")</f>
        <v>#REF!</v>
      </c>
      <c r="O115" t="e">
        <f>IF(#REF!,"AAAAAF2s9w4=",0)</f>
        <v>#REF!</v>
      </c>
      <c r="P115" t="e">
        <f>AND(#REF!,"AAAAAF2s9w8=")</f>
        <v>#REF!</v>
      </c>
      <c r="Q115" t="e">
        <f>AND(#REF!,"AAAAAF2s9xA=")</f>
        <v>#REF!</v>
      </c>
      <c r="R115" t="e">
        <f>AND(#REF!,"AAAAAF2s9xE=")</f>
        <v>#REF!</v>
      </c>
      <c r="S115" t="e">
        <f>AND(#REF!,"AAAAAF2s9xI=")</f>
        <v>#REF!</v>
      </c>
      <c r="T115" t="e">
        <f>AND(#REF!,"AAAAAF2s9xM=")</f>
        <v>#REF!</v>
      </c>
      <c r="U115" t="e">
        <f>AND(#REF!,"AAAAAF2s9xQ=")</f>
        <v>#REF!</v>
      </c>
      <c r="V115" t="e">
        <f>IF(#REF!,"AAAAAF2s9xU=",0)</f>
        <v>#REF!</v>
      </c>
      <c r="W115" t="e">
        <f>AND(#REF!,"AAAAAF2s9xY=")</f>
        <v>#REF!</v>
      </c>
      <c r="X115" t="e">
        <f>AND(#REF!,"AAAAAF2s9xc=")</f>
        <v>#REF!</v>
      </c>
      <c r="Y115" t="e">
        <f>AND(#REF!,"AAAAAF2s9xg=")</f>
        <v>#REF!</v>
      </c>
      <c r="Z115" t="e">
        <f>AND(#REF!,"AAAAAF2s9xk=")</f>
        <v>#REF!</v>
      </c>
      <c r="AA115" t="e">
        <f>AND(#REF!,"AAAAAF2s9xo=")</f>
        <v>#REF!</v>
      </c>
      <c r="AB115" t="e">
        <f>AND(#REF!,"AAAAAF2s9xs=")</f>
        <v>#REF!</v>
      </c>
      <c r="AC115" t="e">
        <f>IF(#REF!,"AAAAAF2s9xw=",0)</f>
        <v>#REF!</v>
      </c>
      <c r="AD115" t="e">
        <f>AND(#REF!,"AAAAAF2s9x0=")</f>
        <v>#REF!</v>
      </c>
      <c r="AE115" t="e">
        <f>AND(#REF!,"AAAAAF2s9x4=")</f>
        <v>#REF!</v>
      </c>
      <c r="AF115" t="e">
        <f>AND(#REF!,"AAAAAF2s9x8=")</f>
        <v>#REF!</v>
      </c>
      <c r="AG115" t="e">
        <f>AND(#REF!,"AAAAAF2s9yA=")</f>
        <v>#REF!</v>
      </c>
      <c r="AH115" t="e">
        <f>AND(#REF!,"AAAAAF2s9yE=")</f>
        <v>#REF!</v>
      </c>
      <c r="AI115" t="e">
        <f>AND(#REF!,"AAAAAF2s9yI=")</f>
        <v>#REF!</v>
      </c>
      <c r="AJ115" t="e">
        <f>IF(#REF!,"AAAAAF2s9yM=",0)</f>
        <v>#REF!</v>
      </c>
      <c r="AK115" t="e">
        <f>AND(#REF!,"AAAAAF2s9yQ=")</f>
        <v>#REF!</v>
      </c>
      <c r="AL115" t="e">
        <f>AND(#REF!,"AAAAAF2s9yU=")</f>
        <v>#REF!</v>
      </c>
      <c r="AM115" t="e">
        <f>AND(#REF!,"AAAAAF2s9yY=")</f>
        <v>#REF!</v>
      </c>
      <c r="AN115" t="e">
        <f>AND(#REF!,"AAAAAF2s9yc=")</f>
        <v>#REF!</v>
      </c>
      <c r="AO115" t="e">
        <f>AND(#REF!,"AAAAAF2s9yg=")</f>
        <v>#REF!</v>
      </c>
      <c r="AP115" t="e">
        <f>AND(#REF!,"AAAAAF2s9yk=")</f>
        <v>#REF!</v>
      </c>
      <c r="AQ115" t="e">
        <f>IF(#REF!,"AAAAAF2s9yo=",0)</f>
        <v>#REF!</v>
      </c>
      <c r="AR115" t="e">
        <f>AND(#REF!,"AAAAAF2s9ys=")</f>
        <v>#REF!</v>
      </c>
      <c r="AS115" t="e">
        <f>AND(#REF!,"AAAAAF2s9yw=")</f>
        <v>#REF!</v>
      </c>
      <c r="AT115" t="e">
        <f>AND(#REF!,"AAAAAF2s9y0=")</f>
        <v>#REF!</v>
      </c>
      <c r="AU115" t="e">
        <f>AND(#REF!,"AAAAAF2s9y4=")</f>
        <v>#REF!</v>
      </c>
      <c r="AV115" t="e">
        <f>AND(#REF!,"AAAAAF2s9y8=")</f>
        <v>#REF!</v>
      </c>
      <c r="AW115" t="e">
        <f>AND(#REF!,"AAAAAF2s9zA=")</f>
        <v>#REF!</v>
      </c>
      <c r="AX115" t="e">
        <f>IF(#REF!,"AAAAAF2s9zE=",0)</f>
        <v>#REF!</v>
      </c>
      <c r="AY115" t="e">
        <f>AND(#REF!,"AAAAAF2s9zI=")</f>
        <v>#REF!</v>
      </c>
      <c r="AZ115" t="e">
        <f>AND(#REF!,"AAAAAF2s9zM=")</f>
        <v>#REF!</v>
      </c>
      <c r="BA115" t="e">
        <f>AND(#REF!,"AAAAAF2s9zQ=")</f>
        <v>#REF!</v>
      </c>
      <c r="BB115" t="e">
        <f>AND(#REF!,"AAAAAF2s9zU=")</f>
        <v>#REF!</v>
      </c>
      <c r="BC115" t="e">
        <f>AND(#REF!,"AAAAAF2s9zY=")</f>
        <v>#REF!</v>
      </c>
      <c r="BD115" t="e">
        <f>AND(#REF!,"AAAAAF2s9zc=")</f>
        <v>#REF!</v>
      </c>
      <c r="BE115" t="e">
        <f>IF(#REF!,"AAAAAF2s9zg=",0)</f>
        <v>#REF!</v>
      </c>
      <c r="BF115" t="e">
        <f>AND(#REF!,"AAAAAF2s9zk=")</f>
        <v>#REF!</v>
      </c>
      <c r="BG115" t="e">
        <f>AND(#REF!,"AAAAAF2s9zo=")</f>
        <v>#REF!</v>
      </c>
      <c r="BH115" t="e">
        <f>AND(#REF!,"AAAAAF2s9zs=")</f>
        <v>#REF!</v>
      </c>
      <c r="BI115" t="e">
        <f>AND(#REF!,"AAAAAF2s9zw=")</f>
        <v>#REF!</v>
      </c>
      <c r="BJ115" t="e">
        <f>AND(#REF!,"AAAAAF2s9z0=")</f>
        <v>#REF!</v>
      </c>
      <c r="BK115" t="e">
        <f>AND(#REF!,"AAAAAF2s9z4=")</f>
        <v>#REF!</v>
      </c>
      <c r="BL115" t="e">
        <f>IF(#REF!,"AAAAAF2s9z8=",0)</f>
        <v>#REF!</v>
      </c>
      <c r="BM115" t="e">
        <f>AND(#REF!,"AAAAAF2s90A=")</f>
        <v>#REF!</v>
      </c>
      <c r="BN115" t="e">
        <f>AND(#REF!,"AAAAAF2s90E=")</f>
        <v>#REF!</v>
      </c>
      <c r="BO115" t="e">
        <f>AND(#REF!,"AAAAAF2s90I=")</f>
        <v>#REF!</v>
      </c>
      <c r="BP115" t="e">
        <f>AND(#REF!,"AAAAAF2s90M=")</f>
        <v>#REF!</v>
      </c>
      <c r="BQ115" t="e">
        <f>AND(#REF!,"AAAAAF2s90Q=")</f>
        <v>#REF!</v>
      </c>
      <c r="BR115" t="e">
        <f>AND(#REF!,"AAAAAF2s90U=")</f>
        <v>#REF!</v>
      </c>
      <c r="BS115" t="e">
        <f>IF(#REF!,"AAAAAF2s90Y=",0)</f>
        <v>#REF!</v>
      </c>
      <c r="BT115" t="e">
        <f>AND(#REF!,"AAAAAF2s90c=")</f>
        <v>#REF!</v>
      </c>
      <c r="BU115" t="e">
        <f>AND(#REF!,"AAAAAF2s90g=")</f>
        <v>#REF!</v>
      </c>
      <c r="BV115" t="e">
        <f>AND(#REF!,"AAAAAF2s90k=")</f>
        <v>#REF!</v>
      </c>
      <c r="BW115" t="e">
        <f>AND(#REF!,"AAAAAF2s90o=")</f>
        <v>#REF!</v>
      </c>
      <c r="BX115" t="e">
        <f>AND(#REF!,"AAAAAF2s90s=")</f>
        <v>#REF!</v>
      </c>
      <c r="BY115" t="e">
        <f>AND(#REF!,"AAAAAF2s90w=")</f>
        <v>#REF!</v>
      </c>
      <c r="BZ115" t="e">
        <f>IF(#REF!,"AAAAAF2s900=",0)</f>
        <v>#REF!</v>
      </c>
      <c r="CA115" t="e">
        <f>AND(#REF!,"AAAAAF2s904=")</f>
        <v>#REF!</v>
      </c>
      <c r="CB115" t="e">
        <f>AND(#REF!,"AAAAAF2s908=")</f>
        <v>#REF!</v>
      </c>
      <c r="CC115" t="e">
        <f>AND(#REF!,"AAAAAF2s91A=")</f>
        <v>#REF!</v>
      </c>
      <c r="CD115" t="e">
        <f>AND(#REF!,"AAAAAF2s91E=")</f>
        <v>#REF!</v>
      </c>
      <c r="CE115" t="e">
        <f>AND(#REF!,"AAAAAF2s91I=")</f>
        <v>#REF!</v>
      </c>
      <c r="CF115" t="e">
        <f>AND(#REF!,"AAAAAF2s91M=")</f>
        <v>#REF!</v>
      </c>
      <c r="CG115" t="e">
        <f>IF(#REF!,"AAAAAF2s91Q=",0)</f>
        <v>#REF!</v>
      </c>
      <c r="CH115" t="e">
        <f>AND(#REF!,"AAAAAF2s91U=")</f>
        <v>#REF!</v>
      </c>
      <c r="CI115" t="e">
        <f>AND(#REF!,"AAAAAF2s91Y=")</f>
        <v>#REF!</v>
      </c>
      <c r="CJ115" t="e">
        <f>AND(#REF!,"AAAAAF2s91c=")</f>
        <v>#REF!</v>
      </c>
      <c r="CK115" t="e">
        <f>AND(#REF!,"AAAAAF2s91g=")</f>
        <v>#REF!</v>
      </c>
      <c r="CL115" t="e">
        <f>AND(#REF!,"AAAAAF2s91k=")</f>
        <v>#REF!</v>
      </c>
      <c r="CM115" t="e">
        <f>AND(#REF!,"AAAAAF2s91o=")</f>
        <v>#REF!</v>
      </c>
      <c r="CN115" t="e">
        <f>IF(#REF!,"AAAAAF2s91s=",0)</f>
        <v>#REF!</v>
      </c>
      <c r="CO115" t="e">
        <f>AND(#REF!,"AAAAAF2s91w=")</f>
        <v>#REF!</v>
      </c>
      <c r="CP115" t="e">
        <f>AND(#REF!,"AAAAAF2s910=")</f>
        <v>#REF!</v>
      </c>
      <c r="CQ115" t="e">
        <f>AND(#REF!,"AAAAAF2s914=")</f>
        <v>#REF!</v>
      </c>
      <c r="CR115" t="e">
        <f>AND(#REF!,"AAAAAF2s918=")</f>
        <v>#REF!</v>
      </c>
      <c r="CS115" t="e">
        <f>AND(#REF!,"AAAAAF2s92A=")</f>
        <v>#REF!</v>
      </c>
      <c r="CT115" t="e">
        <f>AND(#REF!,"AAAAAF2s92E=")</f>
        <v>#REF!</v>
      </c>
      <c r="CU115" t="e">
        <f>IF(#REF!,"AAAAAF2s92I=",0)</f>
        <v>#REF!</v>
      </c>
      <c r="CV115" t="e">
        <f>AND(#REF!,"AAAAAF2s92M=")</f>
        <v>#REF!</v>
      </c>
      <c r="CW115" t="e">
        <f>AND(#REF!,"AAAAAF2s92Q=")</f>
        <v>#REF!</v>
      </c>
      <c r="CX115" t="e">
        <f>AND(#REF!,"AAAAAF2s92U=")</f>
        <v>#REF!</v>
      </c>
      <c r="CY115" t="e">
        <f>AND(#REF!,"AAAAAF2s92Y=")</f>
        <v>#REF!</v>
      </c>
      <c r="CZ115" t="e">
        <f>AND(#REF!,"AAAAAF2s92c=")</f>
        <v>#REF!</v>
      </c>
      <c r="DA115" t="e">
        <f>AND(#REF!,"AAAAAF2s92g=")</f>
        <v>#REF!</v>
      </c>
      <c r="DB115" t="e">
        <f>IF(#REF!,"AAAAAF2s92k=",0)</f>
        <v>#REF!</v>
      </c>
      <c r="DC115" t="e">
        <f>AND(#REF!,"AAAAAF2s92o=")</f>
        <v>#REF!</v>
      </c>
      <c r="DD115" t="e">
        <f>AND(#REF!,"AAAAAF2s92s=")</f>
        <v>#REF!</v>
      </c>
      <c r="DE115" t="e">
        <f>AND(#REF!,"AAAAAF2s92w=")</f>
        <v>#REF!</v>
      </c>
      <c r="DF115" t="e">
        <f>AND(#REF!,"AAAAAF2s920=")</f>
        <v>#REF!</v>
      </c>
      <c r="DG115" t="e">
        <f>AND(#REF!,"AAAAAF2s924=")</f>
        <v>#REF!</v>
      </c>
      <c r="DH115" t="e">
        <f>AND(#REF!,"AAAAAF2s928=")</f>
        <v>#REF!</v>
      </c>
      <c r="DI115" t="e">
        <f>IF(#REF!,"AAAAAF2s93A=",0)</f>
        <v>#REF!</v>
      </c>
      <c r="DJ115" t="e">
        <f>AND(#REF!,"AAAAAF2s93E=")</f>
        <v>#REF!</v>
      </c>
      <c r="DK115" t="e">
        <f>AND(#REF!,"AAAAAF2s93I=")</f>
        <v>#REF!</v>
      </c>
      <c r="DL115" t="e">
        <f>AND(#REF!,"AAAAAF2s93M=")</f>
        <v>#REF!</v>
      </c>
      <c r="DM115" t="e">
        <f>AND(#REF!,"AAAAAF2s93Q=")</f>
        <v>#REF!</v>
      </c>
      <c r="DN115" t="e">
        <f>AND(#REF!,"AAAAAF2s93U=")</f>
        <v>#REF!</v>
      </c>
      <c r="DO115" t="e">
        <f>AND(#REF!,"AAAAAF2s93Y=")</f>
        <v>#REF!</v>
      </c>
      <c r="DP115" t="e">
        <f>IF(#REF!,"AAAAAF2s93c=",0)</f>
        <v>#REF!</v>
      </c>
      <c r="DQ115" t="e">
        <f>AND(#REF!,"AAAAAF2s93g=")</f>
        <v>#REF!</v>
      </c>
      <c r="DR115" t="e">
        <f>AND(#REF!,"AAAAAF2s93k=")</f>
        <v>#REF!</v>
      </c>
      <c r="DS115" t="e">
        <f>AND(#REF!,"AAAAAF2s93o=")</f>
        <v>#REF!</v>
      </c>
      <c r="DT115" t="e">
        <f>AND(#REF!,"AAAAAF2s93s=")</f>
        <v>#REF!</v>
      </c>
      <c r="DU115" t="e">
        <f>AND(#REF!,"AAAAAF2s93w=")</f>
        <v>#REF!</v>
      </c>
      <c r="DV115" t="e">
        <f>AND(#REF!,"AAAAAF2s930=")</f>
        <v>#REF!</v>
      </c>
      <c r="DW115" t="e">
        <f>IF(#REF!,"AAAAAF2s934=",0)</f>
        <v>#REF!</v>
      </c>
      <c r="DX115" t="e">
        <f>AND(#REF!,"AAAAAF2s938=")</f>
        <v>#REF!</v>
      </c>
      <c r="DY115" t="e">
        <f>AND(#REF!,"AAAAAF2s94A=")</f>
        <v>#REF!</v>
      </c>
      <c r="DZ115" t="e">
        <f>AND(#REF!,"AAAAAF2s94E=")</f>
        <v>#REF!</v>
      </c>
      <c r="EA115" t="e">
        <f>AND(#REF!,"AAAAAF2s94I=")</f>
        <v>#REF!</v>
      </c>
      <c r="EB115" t="e">
        <f>AND(#REF!,"AAAAAF2s94M=")</f>
        <v>#REF!</v>
      </c>
      <c r="EC115" t="e">
        <f>AND(#REF!,"AAAAAF2s94Q=")</f>
        <v>#REF!</v>
      </c>
      <c r="ED115" t="e">
        <f>IF(#REF!,"AAAAAF2s94U=",0)</f>
        <v>#REF!</v>
      </c>
      <c r="EE115" t="e">
        <f>AND(#REF!,"AAAAAF2s94Y=")</f>
        <v>#REF!</v>
      </c>
      <c r="EF115" t="e">
        <f>AND(#REF!,"AAAAAF2s94c=")</f>
        <v>#REF!</v>
      </c>
      <c r="EG115" t="e">
        <f>AND(#REF!,"AAAAAF2s94g=")</f>
        <v>#REF!</v>
      </c>
      <c r="EH115" t="e">
        <f>AND(#REF!,"AAAAAF2s94k=")</f>
        <v>#REF!</v>
      </c>
      <c r="EI115" t="e">
        <f>AND(#REF!,"AAAAAF2s94o=")</f>
        <v>#REF!</v>
      </c>
      <c r="EJ115" t="e">
        <f>AND(#REF!,"AAAAAF2s94s=")</f>
        <v>#REF!</v>
      </c>
      <c r="EK115" t="e">
        <f>IF(#REF!,"AAAAAF2s94w=",0)</f>
        <v>#REF!</v>
      </c>
      <c r="EL115" t="e">
        <f>AND(#REF!,"AAAAAF2s940=")</f>
        <v>#REF!</v>
      </c>
      <c r="EM115" t="e">
        <f>AND(#REF!,"AAAAAF2s944=")</f>
        <v>#REF!</v>
      </c>
      <c r="EN115" t="e">
        <f>AND(#REF!,"AAAAAF2s948=")</f>
        <v>#REF!</v>
      </c>
      <c r="EO115" t="e">
        <f>AND(#REF!,"AAAAAF2s95A=")</f>
        <v>#REF!</v>
      </c>
      <c r="EP115" t="e">
        <f>AND(#REF!,"AAAAAF2s95E=")</f>
        <v>#REF!</v>
      </c>
      <c r="EQ115" t="e">
        <f>AND(#REF!,"AAAAAF2s95I=")</f>
        <v>#REF!</v>
      </c>
      <c r="ER115" t="e">
        <f>IF(#REF!,"AAAAAF2s95M=",0)</f>
        <v>#REF!</v>
      </c>
      <c r="ES115" t="e">
        <f>AND(#REF!,"AAAAAF2s95Q=")</f>
        <v>#REF!</v>
      </c>
      <c r="ET115" t="e">
        <f>AND(#REF!,"AAAAAF2s95U=")</f>
        <v>#REF!</v>
      </c>
      <c r="EU115" t="e">
        <f>AND(#REF!,"AAAAAF2s95Y=")</f>
        <v>#REF!</v>
      </c>
      <c r="EV115" t="e">
        <f>AND(#REF!,"AAAAAF2s95c=")</f>
        <v>#REF!</v>
      </c>
      <c r="EW115" t="e">
        <f>AND(#REF!,"AAAAAF2s95g=")</f>
        <v>#REF!</v>
      </c>
      <c r="EX115" t="e">
        <f>AND(#REF!,"AAAAAF2s95k=")</f>
        <v>#REF!</v>
      </c>
      <c r="EY115" t="e">
        <f>IF(#REF!,"AAAAAF2s95o=",0)</f>
        <v>#REF!</v>
      </c>
      <c r="EZ115" t="e">
        <f>AND(#REF!,"AAAAAF2s95s=")</f>
        <v>#REF!</v>
      </c>
      <c r="FA115" t="e">
        <f>AND(#REF!,"AAAAAF2s95w=")</f>
        <v>#REF!</v>
      </c>
      <c r="FB115" t="e">
        <f>AND(#REF!,"AAAAAF2s950=")</f>
        <v>#REF!</v>
      </c>
      <c r="FC115" t="e">
        <f>AND(#REF!,"AAAAAF2s954=")</f>
        <v>#REF!</v>
      </c>
      <c r="FD115" t="e">
        <f>AND(#REF!,"AAAAAF2s958=")</f>
        <v>#REF!</v>
      </c>
      <c r="FE115" t="e">
        <f>AND(#REF!,"AAAAAF2s96A=")</f>
        <v>#REF!</v>
      </c>
      <c r="FF115" t="e">
        <f>IF(#REF!,"AAAAAF2s96E=",0)</f>
        <v>#REF!</v>
      </c>
      <c r="FG115" t="e">
        <f>AND(#REF!,"AAAAAF2s96I=")</f>
        <v>#REF!</v>
      </c>
      <c r="FH115" t="e">
        <f>AND(#REF!,"AAAAAF2s96M=")</f>
        <v>#REF!</v>
      </c>
      <c r="FI115" t="e">
        <f>AND(#REF!,"AAAAAF2s96Q=")</f>
        <v>#REF!</v>
      </c>
      <c r="FJ115" t="e">
        <f>AND(#REF!,"AAAAAF2s96U=")</f>
        <v>#REF!</v>
      </c>
      <c r="FK115" t="e">
        <f>AND(#REF!,"AAAAAF2s96Y=")</f>
        <v>#REF!</v>
      </c>
      <c r="FL115" t="e">
        <f>AND(#REF!,"AAAAAF2s96c=")</f>
        <v>#REF!</v>
      </c>
      <c r="FM115" t="e">
        <f>IF(#REF!,"AAAAAF2s96g=",0)</f>
        <v>#REF!</v>
      </c>
      <c r="FN115" t="e">
        <f>AND(#REF!,"AAAAAF2s96k=")</f>
        <v>#REF!</v>
      </c>
      <c r="FO115" t="e">
        <f>AND(#REF!,"AAAAAF2s96o=")</f>
        <v>#REF!</v>
      </c>
      <c r="FP115" t="e">
        <f>AND(#REF!,"AAAAAF2s96s=")</f>
        <v>#REF!</v>
      </c>
      <c r="FQ115" t="e">
        <f>AND(#REF!,"AAAAAF2s96w=")</f>
        <v>#REF!</v>
      </c>
      <c r="FR115" t="e">
        <f>AND(#REF!,"AAAAAF2s960=")</f>
        <v>#REF!</v>
      </c>
      <c r="FS115" t="e">
        <f>AND(#REF!,"AAAAAF2s964=")</f>
        <v>#REF!</v>
      </c>
      <c r="FT115" t="e">
        <f>IF(#REF!,"AAAAAF2s968=",0)</f>
        <v>#REF!</v>
      </c>
      <c r="FU115" t="e">
        <f>AND(#REF!,"AAAAAF2s97A=")</f>
        <v>#REF!</v>
      </c>
      <c r="FV115" t="e">
        <f>AND(#REF!,"AAAAAF2s97E=")</f>
        <v>#REF!</v>
      </c>
      <c r="FW115" t="e">
        <f>AND(#REF!,"AAAAAF2s97I=")</f>
        <v>#REF!</v>
      </c>
      <c r="FX115" t="e">
        <f>AND(#REF!,"AAAAAF2s97M=")</f>
        <v>#REF!</v>
      </c>
      <c r="FY115" t="e">
        <f>AND(#REF!,"AAAAAF2s97Q=")</f>
        <v>#REF!</v>
      </c>
      <c r="FZ115" t="e">
        <f>AND(#REF!,"AAAAAF2s97U=")</f>
        <v>#REF!</v>
      </c>
      <c r="GA115" t="e">
        <f>IF(#REF!,"AAAAAF2s97Y=",0)</f>
        <v>#REF!</v>
      </c>
      <c r="GB115" t="e">
        <f>AND(#REF!,"AAAAAF2s97c=")</f>
        <v>#REF!</v>
      </c>
      <c r="GC115" t="e">
        <f>AND(#REF!,"AAAAAF2s97g=")</f>
        <v>#REF!</v>
      </c>
      <c r="GD115" t="e">
        <f>AND(#REF!,"AAAAAF2s97k=")</f>
        <v>#REF!</v>
      </c>
      <c r="GE115" t="e">
        <f>AND(#REF!,"AAAAAF2s97o=")</f>
        <v>#REF!</v>
      </c>
      <c r="GF115" t="e">
        <f>AND(#REF!,"AAAAAF2s97s=")</f>
        <v>#REF!</v>
      </c>
      <c r="GG115" t="e">
        <f>AND(#REF!,"AAAAAF2s97w=")</f>
        <v>#REF!</v>
      </c>
      <c r="GH115" t="e">
        <f>IF(#REF!,"AAAAAF2s970=",0)</f>
        <v>#REF!</v>
      </c>
      <c r="GI115" t="e">
        <f>AND(#REF!,"AAAAAF2s974=")</f>
        <v>#REF!</v>
      </c>
      <c r="GJ115" t="e">
        <f>AND(#REF!,"AAAAAF2s978=")</f>
        <v>#REF!</v>
      </c>
      <c r="GK115" t="e">
        <f>AND(#REF!,"AAAAAF2s98A=")</f>
        <v>#REF!</v>
      </c>
      <c r="GL115" t="e">
        <f>AND(#REF!,"AAAAAF2s98E=")</f>
        <v>#REF!</v>
      </c>
      <c r="GM115" t="e">
        <f>AND(#REF!,"AAAAAF2s98I=")</f>
        <v>#REF!</v>
      </c>
      <c r="GN115" t="e">
        <f>AND(#REF!,"AAAAAF2s98M=")</f>
        <v>#REF!</v>
      </c>
      <c r="GO115" t="e">
        <f>IF(#REF!,"AAAAAF2s98Q=",0)</f>
        <v>#REF!</v>
      </c>
      <c r="GP115" t="e">
        <f>AND(#REF!,"AAAAAF2s98U=")</f>
        <v>#REF!</v>
      </c>
      <c r="GQ115" t="e">
        <f>AND(#REF!,"AAAAAF2s98Y=")</f>
        <v>#REF!</v>
      </c>
      <c r="GR115" t="e">
        <f>AND(#REF!,"AAAAAF2s98c=")</f>
        <v>#REF!</v>
      </c>
      <c r="GS115" t="e">
        <f>AND(#REF!,"AAAAAF2s98g=")</f>
        <v>#REF!</v>
      </c>
      <c r="GT115" t="e">
        <f>AND(#REF!,"AAAAAF2s98k=")</f>
        <v>#REF!</v>
      </c>
      <c r="GU115" t="e">
        <f>AND(#REF!,"AAAAAF2s98o=")</f>
        <v>#REF!</v>
      </c>
      <c r="GV115" t="e">
        <f>IF(#REF!,"AAAAAF2s98s=",0)</f>
        <v>#REF!</v>
      </c>
      <c r="GW115" t="e">
        <f>AND(#REF!,"AAAAAF2s98w=")</f>
        <v>#REF!</v>
      </c>
      <c r="GX115" t="e">
        <f>AND(#REF!,"AAAAAF2s980=")</f>
        <v>#REF!</v>
      </c>
      <c r="GY115" t="e">
        <f>AND(#REF!,"AAAAAF2s984=")</f>
        <v>#REF!</v>
      </c>
      <c r="GZ115" t="e">
        <f>AND(#REF!,"AAAAAF2s988=")</f>
        <v>#REF!</v>
      </c>
      <c r="HA115" t="e">
        <f>AND(#REF!,"AAAAAF2s99A=")</f>
        <v>#REF!</v>
      </c>
      <c r="HB115" t="e">
        <f>AND(#REF!,"AAAAAF2s99E=")</f>
        <v>#REF!</v>
      </c>
      <c r="HC115" t="e">
        <f>IF(#REF!,"AAAAAF2s99I=",0)</f>
        <v>#REF!</v>
      </c>
      <c r="HD115" t="e">
        <f>AND(#REF!,"AAAAAF2s99M=")</f>
        <v>#REF!</v>
      </c>
      <c r="HE115" t="e">
        <f>AND(#REF!,"AAAAAF2s99Q=")</f>
        <v>#REF!</v>
      </c>
      <c r="HF115" t="e">
        <f>AND(#REF!,"AAAAAF2s99U=")</f>
        <v>#REF!</v>
      </c>
      <c r="HG115" t="e">
        <f>AND(#REF!,"AAAAAF2s99Y=")</f>
        <v>#REF!</v>
      </c>
      <c r="HH115" t="e">
        <f>AND(#REF!,"AAAAAF2s99c=")</f>
        <v>#REF!</v>
      </c>
      <c r="HI115" t="e">
        <f>AND(#REF!,"AAAAAF2s99g=")</f>
        <v>#REF!</v>
      </c>
      <c r="HJ115" t="e">
        <f>IF(#REF!,"AAAAAF2s99k=",0)</f>
        <v>#REF!</v>
      </c>
      <c r="HK115" t="e">
        <f>AND(#REF!,"AAAAAF2s99o=")</f>
        <v>#REF!</v>
      </c>
      <c r="HL115" t="e">
        <f>AND(#REF!,"AAAAAF2s99s=")</f>
        <v>#REF!</v>
      </c>
      <c r="HM115" t="e">
        <f>AND(#REF!,"AAAAAF2s99w=")</f>
        <v>#REF!</v>
      </c>
      <c r="HN115" t="e">
        <f>AND(#REF!,"AAAAAF2s990=")</f>
        <v>#REF!</v>
      </c>
      <c r="HO115" t="e">
        <f>AND(#REF!,"AAAAAF2s994=")</f>
        <v>#REF!</v>
      </c>
      <c r="HP115" t="e">
        <f>AND(#REF!,"AAAAAF2s998=")</f>
        <v>#REF!</v>
      </c>
      <c r="HQ115" t="e">
        <f>IF(#REF!,"AAAAAF2s9+A=",0)</f>
        <v>#REF!</v>
      </c>
      <c r="HR115" t="e">
        <f>AND(#REF!,"AAAAAF2s9+E=")</f>
        <v>#REF!</v>
      </c>
      <c r="HS115" t="e">
        <f>AND(#REF!,"AAAAAF2s9+I=")</f>
        <v>#REF!</v>
      </c>
      <c r="HT115" t="e">
        <f>AND(#REF!,"AAAAAF2s9+M=")</f>
        <v>#REF!</v>
      </c>
      <c r="HU115" t="e">
        <f>AND(#REF!,"AAAAAF2s9+Q=")</f>
        <v>#REF!</v>
      </c>
      <c r="HV115" t="e">
        <f>AND(#REF!,"AAAAAF2s9+U=")</f>
        <v>#REF!</v>
      </c>
      <c r="HW115" t="e">
        <f>AND(#REF!,"AAAAAF2s9+Y=")</f>
        <v>#REF!</v>
      </c>
      <c r="HX115" t="e">
        <f>IF(#REF!,"AAAAAF2s9+c=",0)</f>
        <v>#REF!</v>
      </c>
      <c r="HY115" t="e">
        <f>AND(#REF!,"AAAAAF2s9+g=")</f>
        <v>#REF!</v>
      </c>
      <c r="HZ115" t="e">
        <f>AND(#REF!,"AAAAAF2s9+k=")</f>
        <v>#REF!</v>
      </c>
      <c r="IA115" t="e">
        <f>AND(#REF!,"AAAAAF2s9+o=")</f>
        <v>#REF!</v>
      </c>
      <c r="IB115" t="e">
        <f>AND(#REF!,"AAAAAF2s9+s=")</f>
        <v>#REF!</v>
      </c>
      <c r="IC115" t="e">
        <f>AND(#REF!,"AAAAAF2s9+w=")</f>
        <v>#REF!</v>
      </c>
      <c r="ID115" t="e">
        <f>AND(#REF!,"AAAAAF2s9+0=")</f>
        <v>#REF!</v>
      </c>
      <c r="IE115" t="e">
        <f>IF(#REF!,"AAAAAF2s9+4=",0)</f>
        <v>#REF!</v>
      </c>
      <c r="IF115" t="e">
        <f>AND(#REF!,"AAAAAF2s9+8=")</f>
        <v>#REF!</v>
      </c>
      <c r="IG115" t="e">
        <f>AND(#REF!,"AAAAAF2s9/A=")</f>
        <v>#REF!</v>
      </c>
      <c r="IH115" t="e">
        <f>AND(#REF!,"AAAAAF2s9/E=")</f>
        <v>#REF!</v>
      </c>
      <c r="II115" t="e">
        <f>AND(#REF!,"AAAAAF2s9/I=")</f>
        <v>#REF!</v>
      </c>
      <c r="IJ115" t="e">
        <f>AND(#REF!,"AAAAAF2s9/M=")</f>
        <v>#REF!</v>
      </c>
      <c r="IK115" t="e">
        <f>AND(#REF!,"AAAAAF2s9/Q=")</f>
        <v>#REF!</v>
      </c>
      <c r="IL115" t="e">
        <f>IF(#REF!,"AAAAAF2s9/U=",0)</f>
        <v>#REF!</v>
      </c>
      <c r="IM115" t="e">
        <f>AND(#REF!,"AAAAAF2s9/Y=")</f>
        <v>#REF!</v>
      </c>
      <c r="IN115" t="e">
        <f>AND(#REF!,"AAAAAF2s9/c=")</f>
        <v>#REF!</v>
      </c>
      <c r="IO115" t="e">
        <f>AND(#REF!,"AAAAAF2s9/g=")</f>
        <v>#REF!</v>
      </c>
      <c r="IP115" t="e">
        <f>AND(#REF!,"AAAAAF2s9/k=")</f>
        <v>#REF!</v>
      </c>
      <c r="IQ115" t="e">
        <f>AND(#REF!,"AAAAAF2s9/o=")</f>
        <v>#REF!</v>
      </c>
      <c r="IR115" t="e">
        <f>AND(#REF!,"AAAAAF2s9/s=")</f>
        <v>#REF!</v>
      </c>
      <c r="IS115" t="e">
        <f>IF(#REF!,"AAAAAF2s9/w=",0)</f>
        <v>#REF!</v>
      </c>
      <c r="IT115" t="e">
        <f>AND(#REF!,"AAAAAF2s9/0=")</f>
        <v>#REF!</v>
      </c>
      <c r="IU115" t="e">
        <f>AND(#REF!,"AAAAAF2s9/4=")</f>
        <v>#REF!</v>
      </c>
      <c r="IV115" t="e">
        <f>AND(#REF!,"AAAAAF2s9/8=")</f>
        <v>#REF!</v>
      </c>
    </row>
    <row r="116" spans="1:256" x14ac:dyDescent="0.15">
      <c r="A116" t="e">
        <f>AND(#REF!,"AAAAAB+eFwA=")</f>
        <v>#REF!</v>
      </c>
      <c r="B116" t="e">
        <f>AND(#REF!,"AAAAAB+eFwE=")</f>
        <v>#REF!</v>
      </c>
      <c r="C116" t="e">
        <f>AND(#REF!,"AAAAAB+eFwI=")</f>
        <v>#REF!</v>
      </c>
      <c r="D116" t="e">
        <f>IF(#REF!,"AAAAAB+eFwM=",0)</f>
        <v>#REF!</v>
      </c>
      <c r="E116" t="e">
        <f>AND(#REF!,"AAAAAB+eFwQ=")</f>
        <v>#REF!</v>
      </c>
      <c r="F116" t="e">
        <f>AND(#REF!,"AAAAAB+eFwU=")</f>
        <v>#REF!</v>
      </c>
      <c r="G116" t="e">
        <f>AND(#REF!,"AAAAAB+eFwY=")</f>
        <v>#REF!</v>
      </c>
      <c r="H116" t="e">
        <f>AND(#REF!,"AAAAAB+eFwc=")</f>
        <v>#REF!</v>
      </c>
      <c r="I116" t="e">
        <f>AND(#REF!,"AAAAAB+eFwg=")</f>
        <v>#REF!</v>
      </c>
      <c r="J116" t="e">
        <f>AND(#REF!,"AAAAAB+eFwk=")</f>
        <v>#REF!</v>
      </c>
      <c r="K116" t="e">
        <f>IF(#REF!,"AAAAAB+eFwo=",0)</f>
        <v>#REF!</v>
      </c>
      <c r="L116" t="e">
        <f>AND(#REF!,"AAAAAB+eFws=")</f>
        <v>#REF!</v>
      </c>
      <c r="M116" t="e">
        <f>AND(#REF!,"AAAAAB+eFww=")</f>
        <v>#REF!</v>
      </c>
      <c r="N116" t="e">
        <f>AND(#REF!,"AAAAAB+eFw0=")</f>
        <v>#REF!</v>
      </c>
      <c r="O116" t="e">
        <f>AND(#REF!,"AAAAAB+eFw4=")</f>
        <v>#REF!</v>
      </c>
      <c r="P116" t="e">
        <f>AND(#REF!,"AAAAAB+eFw8=")</f>
        <v>#REF!</v>
      </c>
      <c r="Q116" t="e">
        <f>AND(#REF!,"AAAAAB+eFxA=")</f>
        <v>#REF!</v>
      </c>
      <c r="R116" t="e">
        <f>IF(#REF!,"AAAAAB+eFxE=",0)</f>
        <v>#REF!</v>
      </c>
      <c r="S116" t="e">
        <f>AND(#REF!,"AAAAAB+eFxI=")</f>
        <v>#REF!</v>
      </c>
      <c r="T116" t="e">
        <f>AND(#REF!,"AAAAAB+eFxM=")</f>
        <v>#REF!</v>
      </c>
      <c r="U116" t="e">
        <f>AND(#REF!,"AAAAAB+eFxQ=")</f>
        <v>#REF!</v>
      </c>
      <c r="V116" t="e">
        <f>AND(#REF!,"AAAAAB+eFxU=")</f>
        <v>#REF!</v>
      </c>
      <c r="W116" t="e">
        <f>AND(#REF!,"AAAAAB+eFxY=")</f>
        <v>#REF!</v>
      </c>
      <c r="X116" t="e">
        <f>AND(#REF!,"AAAAAB+eFxc=")</f>
        <v>#REF!</v>
      </c>
      <c r="Y116" t="e">
        <f>IF(#REF!,"AAAAAB+eFxg=",0)</f>
        <v>#REF!</v>
      </c>
      <c r="Z116" t="e">
        <f>AND(#REF!,"AAAAAB+eFxk=")</f>
        <v>#REF!</v>
      </c>
      <c r="AA116" t="e">
        <f>AND(#REF!,"AAAAAB+eFxo=")</f>
        <v>#REF!</v>
      </c>
      <c r="AB116" t="e">
        <f>AND(#REF!,"AAAAAB+eFxs=")</f>
        <v>#REF!</v>
      </c>
      <c r="AC116" t="e">
        <f>AND(#REF!,"AAAAAB+eFxw=")</f>
        <v>#REF!</v>
      </c>
      <c r="AD116" t="e">
        <f>AND(#REF!,"AAAAAB+eFx0=")</f>
        <v>#REF!</v>
      </c>
      <c r="AE116" t="e">
        <f>AND(#REF!,"AAAAAB+eFx4=")</f>
        <v>#REF!</v>
      </c>
      <c r="AF116" t="e">
        <f>IF(#REF!,"AAAAAB+eFx8=",0)</f>
        <v>#REF!</v>
      </c>
      <c r="AG116" t="e">
        <f>AND(#REF!,"AAAAAB+eFyA=")</f>
        <v>#REF!</v>
      </c>
      <c r="AH116" t="e">
        <f>AND(#REF!,"AAAAAB+eFyE=")</f>
        <v>#REF!</v>
      </c>
      <c r="AI116" t="e">
        <f>AND(#REF!,"AAAAAB+eFyI=")</f>
        <v>#REF!</v>
      </c>
      <c r="AJ116" t="e">
        <f>AND(#REF!,"AAAAAB+eFyM=")</f>
        <v>#REF!</v>
      </c>
      <c r="AK116" t="e">
        <f>AND(#REF!,"AAAAAB+eFyQ=")</f>
        <v>#REF!</v>
      </c>
      <c r="AL116" t="e">
        <f>AND(#REF!,"AAAAAB+eFyU=")</f>
        <v>#REF!</v>
      </c>
      <c r="AM116" t="e">
        <f>IF(#REF!,"AAAAAB+eFyY=",0)</f>
        <v>#REF!</v>
      </c>
      <c r="AN116" t="e">
        <f>AND(#REF!,"AAAAAB+eFyc=")</f>
        <v>#REF!</v>
      </c>
      <c r="AO116" t="e">
        <f>AND(#REF!,"AAAAAB+eFyg=")</f>
        <v>#REF!</v>
      </c>
      <c r="AP116" t="e">
        <f>AND(#REF!,"AAAAAB+eFyk=")</f>
        <v>#REF!</v>
      </c>
      <c r="AQ116" t="e">
        <f>AND(#REF!,"AAAAAB+eFyo=")</f>
        <v>#REF!</v>
      </c>
      <c r="AR116" t="e">
        <f>AND(#REF!,"AAAAAB+eFys=")</f>
        <v>#REF!</v>
      </c>
      <c r="AS116" t="e">
        <f>AND(#REF!,"AAAAAB+eFyw=")</f>
        <v>#REF!</v>
      </c>
      <c r="AT116" t="e">
        <f>IF(#REF!,"AAAAAB+eFy0=",0)</f>
        <v>#REF!</v>
      </c>
      <c r="AU116" t="e">
        <f>AND(#REF!,"AAAAAB+eFy4=")</f>
        <v>#REF!</v>
      </c>
      <c r="AV116" t="e">
        <f>AND(#REF!,"AAAAAB+eFy8=")</f>
        <v>#REF!</v>
      </c>
      <c r="AW116" t="e">
        <f>AND(#REF!,"AAAAAB+eFzA=")</f>
        <v>#REF!</v>
      </c>
      <c r="AX116" t="e">
        <f>AND(#REF!,"AAAAAB+eFzE=")</f>
        <v>#REF!</v>
      </c>
      <c r="AY116" t="e">
        <f>AND(#REF!,"AAAAAB+eFzI=")</f>
        <v>#REF!</v>
      </c>
      <c r="AZ116" t="e">
        <f>AND(#REF!,"AAAAAB+eFzM=")</f>
        <v>#REF!</v>
      </c>
      <c r="BA116" t="e">
        <f>IF(#REF!,"AAAAAB+eFzQ=",0)</f>
        <v>#REF!</v>
      </c>
      <c r="BB116" t="e">
        <f>AND(#REF!,"AAAAAB+eFzU=")</f>
        <v>#REF!</v>
      </c>
      <c r="BC116" t="e">
        <f>AND(#REF!,"AAAAAB+eFzY=")</f>
        <v>#REF!</v>
      </c>
      <c r="BD116" t="e">
        <f>AND(#REF!,"AAAAAB+eFzc=")</f>
        <v>#REF!</v>
      </c>
      <c r="BE116" t="e">
        <f>AND(#REF!,"AAAAAB+eFzg=")</f>
        <v>#REF!</v>
      </c>
      <c r="BF116" t="e">
        <f>AND(#REF!,"AAAAAB+eFzk=")</f>
        <v>#REF!</v>
      </c>
      <c r="BG116" t="e">
        <f>AND(#REF!,"AAAAAB+eFzo=")</f>
        <v>#REF!</v>
      </c>
      <c r="BH116" t="e">
        <f>IF(#REF!,"AAAAAB+eFzs=",0)</f>
        <v>#REF!</v>
      </c>
      <c r="BI116" t="e">
        <f>AND(#REF!,"AAAAAB+eFzw=")</f>
        <v>#REF!</v>
      </c>
      <c r="BJ116" t="e">
        <f>AND(#REF!,"AAAAAB+eFz0=")</f>
        <v>#REF!</v>
      </c>
      <c r="BK116" t="e">
        <f>AND(#REF!,"AAAAAB+eFz4=")</f>
        <v>#REF!</v>
      </c>
      <c r="BL116" t="e">
        <f>AND(#REF!,"AAAAAB+eFz8=")</f>
        <v>#REF!</v>
      </c>
      <c r="BM116" t="e">
        <f>AND(#REF!,"AAAAAB+eF0A=")</f>
        <v>#REF!</v>
      </c>
      <c r="BN116" t="e">
        <f>AND(#REF!,"AAAAAB+eF0E=")</f>
        <v>#REF!</v>
      </c>
      <c r="BO116" t="e">
        <f>IF(#REF!,"AAAAAB+eF0I=",0)</f>
        <v>#REF!</v>
      </c>
      <c r="BP116" t="e">
        <f>AND(#REF!,"AAAAAB+eF0M=")</f>
        <v>#REF!</v>
      </c>
      <c r="BQ116" t="e">
        <f>AND(#REF!,"AAAAAB+eF0Q=")</f>
        <v>#REF!</v>
      </c>
      <c r="BR116" t="e">
        <f>AND(#REF!,"AAAAAB+eF0U=")</f>
        <v>#REF!</v>
      </c>
      <c r="BS116" t="e">
        <f>AND(#REF!,"AAAAAB+eF0Y=")</f>
        <v>#REF!</v>
      </c>
      <c r="BT116" t="e">
        <f>AND(#REF!,"AAAAAB+eF0c=")</f>
        <v>#REF!</v>
      </c>
      <c r="BU116" t="e">
        <f>AND(#REF!,"AAAAAB+eF0g=")</f>
        <v>#REF!</v>
      </c>
      <c r="BV116" t="e">
        <f>IF(#REF!,"AAAAAB+eF0k=",0)</f>
        <v>#REF!</v>
      </c>
      <c r="BW116" t="e">
        <f>AND(#REF!,"AAAAAB+eF0o=")</f>
        <v>#REF!</v>
      </c>
      <c r="BX116" t="e">
        <f>AND(#REF!,"AAAAAB+eF0s=")</f>
        <v>#REF!</v>
      </c>
      <c r="BY116" t="e">
        <f>AND(#REF!,"AAAAAB+eF0w=")</f>
        <v>#REF!</v>
      </c>
      <c r="BZ116" t="e">
        <f>AND(#REF!,"AAAAAB+eF00=")</f>
        <v>#REF!</v>
      </c>
      <c r="CA116" t="e">
        <f>AND(#REF!,"AAAAAB+eF04=")</f>
        <v>#REF!</v>
      </c>
      <c r="CB116" t="e">
        <f>AND(#REF!,"AAAAAB+eF08=")</f>
        <v>#REF!</v>
      </c>
      <c r="CC116" t="e">
        <f>IF(#REF!,"AAAAAB+eF1A=",0)</f>
        <v>#REF!</v>
      </c>
      <c r="CD116" t="e">
        <f>AND(#REF!,"AAAAAB+eF1E=")</f>
        <v>#REF!</v>
      </c>
      <c r="CE116" t="e">
        <f>AND(#REF!,"AAAAAB+eF1I=")</f>
        <v>#REF!</v>
      </c>
      <c r="CF116" t="e">
        <f>AND(#REF!,"AAAAAB+eF1M=")</f>
        <v>#REF!</v>
      </c>
      <c r="CG116" t="e">
        <f>AND(#REF!,"AAAAAB+eF1Q=")</f>
        <v>#REF!</v>
      </c>
      <c r="CH116" t="e">
        <f>AND(#REF!,"AAAAAB+eF1U=")</f>
        <v>#REF!</v>
      </c>
      <c r="CI116" t="e">
        <f>AND(#REF!,"AAAAAB+eF1Y=")</f>
        <v>#REF!</v>
      </c>
      <c r="CJ116" t="e">
        <f>IF(#REF!,"AAAAAB+eF1c=",0)</f>
        <v>#REF!</v>
      </c>
      <c r="CK116" t="e">
        <f>AND(#REF!,"AAAAAB+eF1g=")</f>
        <v>#REF!</v>
      </c>
      <c r="CL116" t="e">
        <f>AND(#REF!,"AAAAAB+eF1k=")</f>
        <v>#REF!</v>
      </c>
      <c r="CM116" t="e">
        <f>AND(#REF!,"AAAAAB+eF1o=")</f>
        <v>#REF!</v>
      </c>
      <c r="CN116" t="e">
        <f>AND(#REF!,"AAAAAB+eF1s=")</f>
        <v>#REF!</v>
      </c>
      <c r="CO116" t="e">
        <f>AND(#REF!,"AAAAAB+eF1w=")</f>
        <v>#REF!</v>
      </c>
      <c r="CP116" t="e">
        <f>AND(#REF!,"AAAAAB+eF10=")</f>
        <v>#REF!</v>
      </c>
      <c r="CQ116" t="e">
        <f>IF(#REF!,"AAAAAB+eF14=",0)</f>
        <v>#REF!</v>
      </c>
      <c r="CR116" t="e">
        <f>AND(#REF!,"AAAAAB+eF18=")</f>
        <v>#REF!</v>
      </c>
      <c r="CS116" t="e">
        <f>AND(#REF!,"AAAAAB+eF2A=")</f>
        <v>#REF!</v>
      </c>
      <c r="CT116" t="e">
        <f>AND(#REF!,"AAAAAB+eF2E=")</f>
        <v>#REF!</v>
      </c>
      <c r="CU116" t="e">
        <f>AND(#REF!,"AAAAAB+eF2I=")</f>
        <v>#REF!</v>
      </c>
      <c r="CV116" t="e">
        <f>AND(#REF!,"AAAAAB+eF2M=")</f>
        <v>#REF!</v>
      </c>
      <c r="CW116" t="e">
        <f>AND(#REF!,"AAAAAB+eF2Q=")</f>
        <v>#REF!</v>
      </c>
      <c r="CX116" t="e">
        <f>IF(#REF!,"AAAAAB+eF2U=",0)</f>
        <v>#REF!</v>
      </c>
      <c r="CY116" t="e">
        <f>AND(#REF!,"AAAAAB+eF2Y=")</f>
        <v>#REF!</v>
      </c>
      <c r="CZ116" t="e">
        <f>AND(#REF!,"AAAAAB+eF2c=")</f>
        <v>#REF!</v>
      </c>
      <c r="DA116" t="e">
        <f>AND(#REF!,"AAAAAB+eF2g=")</f>
        <v>#REF!</v>
      </c>
      <c r="DB116" t="e">
        <f>AND(#REF!,"AAAAAB+eF2k=")</f>
        <v>#REF!</v>
      </c>
      <c r="DC116" t="e">
        <f>AND(#REF!,"AAAAAB+eF2o=")</f>
        <v>#REF!</v>
      </c>
      <c r="DD116" t="e">
        <f>AND(#REF!,"AAAAAB+eF2s=")</f>
        <v>#REF!</v>
      </c>
      <c r="DE116" t="e">
        <f>IF(#REF!,"AAAAAB+eF2w=",0)</f>
        <v>#REF!</v>
      </c>
      <c r="DF116" t="e">
        <f>AND(#REF!,"AAAAAB+eF20=")</f>
        <v>#REF!</v>
      </c>
      <c r="DG116" t="e">
        <f>AND(#REF!,"AAAAAB+eF24=")</f>
        <v>#REF!</v>
      </c>
      <c r="DH116" t="e">
        <f>AND(#REF!,"AAAAAB+eF28=")</f>
        <v>#REF!</v>
      </c>
      <c r="DI116" t="e">
        <f>AND(#REF!,"AAAAAB+eF3A=")</f>
        <v>#REF!</v>
      </c>
      <c r="DJ116" t="e">
        <f>AND(#REF!,"AAAAAB+eF3E=")</f>
        <v>#REF!</v>
      </c>
      <c r="DK116" t="e">
        <f>AND(#REF!,"AAAAAB+eF3I=")</f>
        <v>#REF!</v>
      </c>
      <c r="DL116" t="e">
        <f>IF(#REF!,"AAAAAB+eF3M=",0)</f>
        <v>#REF!</v>
      </c>
      <c r="DM116" t="e">
        <f>AND(#REF!,"AAAAAB+eF3Q=")</f>
        <v>#REF!</v>
      </c>
      <c r="DN116" t="e">
        <f>AND(#REF!,"AAAAAB+eF3U=")</f>
        <v>#REF!</v>
      </c>
      <c r="DO116" t="e">
        <f>AND(#REF!,"AAAAAB+eF3Y=")</f>
        <v>#REF!</v>
      </c>
      <c r="DP116" t="e">
        <f>AND(#REF!,"AAAAAB+eF3c=")</f>
        <v>#REF!</v>
      </c>
      <c r="DQ116" t="e">
        <f>AND(#REF!,"AAAAAB+eF3g=")</f>
        <v>#REF!</v>
      </c>
      <c r="DR116" t="e">
        <f>AND(#REF!,"AAAAAB+eF3k=")</f>
        <v>#REF!</v>
      </c>
      <c r="DS116" t="e">
        <f>IF(#REF!,"AAAAAB+eF3o=",0)</f>
        <v>#REF!</v>
      </c>
      <c r="DT116" t="e">
        <f>AND(#REF!,"AAAAAB+eF3s=")</f>
        <v>#REF!</v>
      </c>
      <c r="DU116" t="e">
        <f>AND(#REF!,"AAAAAB+eF3w=")</f>
        <v>#REF!</v>
      </c>
      <c r="DV116" t="e">
        <f>AND(#REF!,"AAAAAB+eF30=")</f>
        <v>#REF!</v>
      </c>
      <c r="DW116" t="e">
        <f>AND(#REF!,"AAAAAB+eF34=")</f>
        <v>#REF!</v>
      </c>
      <c r="DX116" t="e">
        <f>AND(#REF!,"AAAAAB+eF38=")</f>
        <v>#REF!</v>
      </c>
      <c r="DY116" t="e">
        <f>AND(#REF!,"AAAAAB+eF4A=")</f>
        <v>#REF!</v>
      </c>
      <c r="DZ116" t="e">
        <f>IF(#REF!,"AAAAAB+eF4E=",0)</f>
        <v>#REF!</v>
      </c>
      <c r="EA116" t="e">
        <f>AND(#REF!,"AAAAAB+eF4I=")</f>
        <v>#REF!</v>
      </c>
      <c r="EB116" t="e">
        <f>AND(#REF!,"AAAAAB+eF4M=")</f>
        <v>#REF!</v>
      </c>
      <c r="EC116" t="e">
        <f>AND(#REF!,"AAAAAB+eF4Q=")</f>
        <v>#REF!</v>
      </c>
      <c r="ED116" t="e">
        <f>AND(#REF!,"AAAAAB+eF4U=")</f>
        <v>#REF!</v>
      </c>
      <c r="EE116" t="e">
        <f>AND(#REF!,"AAAAAB+eF4Y=")</f>
        <v>#REF!</v>
      </c>
      <c r="EF116" t="e">
        <f>AND(#REF!,"AAAAAB+eF4c=")</f>
        <v>#REF!</v>
      </c>
      <c r="EG116" t="e">
        <f>IF(#REF!,"AAAAAB+eF4g=",0)</f>
        <v>#REF!</v>
      </c>
      <c r="EH116" t="e">
        <f>AND(#REF!,"AAAAAB+eF4k=")</f>
        <v>#REF!</v>
      </c>
      <c r="EI116" t="e">
        <f>AND(#REF!,"AAAAAB+eF4o=")</f>
        <v>#REF!</v>
      </c>
      <c r="EJ116" t="e">
        <f>AND(#REF!,"AAAAAB+eF4s=")</f>
        <v>#REF!</v>
      </c>
      <c r="EK116" t="e">
        <f>AND(#REF!,"AAAAAB+eF4w=")</f>
        <v>#REF!</v>
      </c>
      <c r="EL116" t="e">
        <f>AND(#REF!,"AAAAAB+eF40=")</f>
        <v>#REF!</v>
      </c>
      <c r="EM116" t="e">
        <f>AND(#REF!,"AAAAAB+eF44=")</f>
        <v>#REF!</v>
      </c>
      <c r="EN116" t="e">
        <f>IF(#REF!,"AAAAAB+eF48=",0)</f>
        <v>#REF!</v>
      </c>
      <c r="EO116" t="e">
        <f>AND(#REF!,"AAAAAB+eF5A=")</f>
        <v>#REF!</v>
      </c>
      <c r="EP116" t="e">
        <f>AND(#REF!,"AAAAAB+eF5E=")</f>
        <v>#REF!</v>
      </c>
      <c r="EQ116" t="e">
        <f>AND(#REF!,"AAAAAB+eF5I=")</f>
        <v>#REF!</v>
      </c>
      <c r="ER116" t="e">
        <f>AND(#REF!,"AAAAAB+eF5M=")</f>
        <v>#REF!</v>
      </c>
      <c r="ES116" t="e">
        <f>AND(#REF!,"AAAAAB+eF5Q=")</f>
        <v>#REF!</v>
      </c>
      <c r="ET116" t="e">
        <f>AND(#REF!,"AAAAAB+eF5U=")</f>
        <v>#REF!</v>
      </c>
      <c r="EU116" t="e">
        <f>IF(#REF!,"AAAAAB+eF5Y=",0)</f>
        <v>#REF!</v>
      </c>
      <c r="EV116" t="e">
        <f>AND(#REF!,"AAAAAB+eF5c=")</f>
        <v>#REF!</v>
      </c>
      <c r="EW116" t="e">
        <f>AND(#REF!,"AAAAAB+eF5g=")</f>
        <v>#REF!</v>
      </c>
      <c r="EX116" t="e">
        <f>AND(#REF!,"AAAAAB+eF5k=")</f>
        <v>#REF!</v>
      </c>
      <c r="EY116" t="e">
        <f>AND(#REF!,"AAAAAB+eF5o=")</f>
        <v>#REF!</v>
      </c>
      <c r="EZ116" t="e">
        <f>AND(#REF!,"AAAAAB+eF5s=")</f>
        <v>#REF!</v>
      </c>
      <c r="FA116" t="e">
        <f>AND(#REF!,"AAAAAB+eF5w=")</f>
        <v>#REF!</v>
      </c>
      <c r="FB116" t="e">
        <f>IF(#REF!,"AAAAAB+eF50=",0)</f>
        <v>#REF!</v>
      </c>
      <c r="FC116" t="e">
        <f>AND(#REF!,"AAAAAB+eF54=")</f>
        <v>#REF!</v>
      </c>
      <c r="FD116" t="e">
        <f>AND(#REF!,"AAAAAB+eF58=")</f>
        <v>#REF!</v>
      </c>
      <c r="FE116" t="e">
        <f>AND(#REF!,"AAAAAB+eF6A=")</f>
        <v>#REF!</v>
      </c>
      <c r="FF116" t="e">
        <f>AND(#REF!,"AAAAAB+eF6E=")</f>
        <v>#REF!</v>
      </c>
      <c r="FG116" t="e">
        <f>AND(#REF!,"AAAAAB+eF6I=")</f>
        <v>#REF!</v>
      </c>
      <c r="FH116" t="e">
        <f>AND(#REF!,"AAAAAB+eF6M=")</f>
        <v>#REF!</v>
      </c>
      <c r="FI116" t="e">
        <f>IF(#REF!,"AAAAAB+eF6Q=",0)</f>
        <v>#REF!</v>
      </c>
      <c r="FJ116" t="e">
        <f>AND(#REF!,"AAAAAB+eF6U=")</f>
        <v>#REF!</v>
      </c>
      <c r="FK116" t="e">
        <f>AND(#REF!,"AAAAAB+eF6Y=")</f>
        <v>#REF!</v>
      </c>
      <c r="FL116" t="e">
        <f>AND(#REF!,"AAAAAB+eF6c=")</f>
        <v>#REF!</v>
      </c>
      <c r="FM116" t="e">
        <f>AND(#REF!,"AAAAAB+eF6g=")</f>
        <v>#REF!</v>
      </c>
      <c r="FN116" t="e">
        <f>AND(#REF!,"AAAAAB+eF6k=")</f>
        <v>#REF!</v>
      </c>
      <c r="FO116" t="e">
        <f>AND(#REF!,"AAAAAB+eF6o=")</f>
        <v>#REF!</v>
      </c>
      <c r="FP116" t="e">
        <f>IF(#REF!,"AAAAAB+eF6s=",0)</f>
        <v>#REF!</v>
      </c>
      <c r="FQ116" t="e">
        <f>AND(#REF!,"AAAAAB+eF6w=")</f>
        <v>#REF!</v>
      </c>
      <c r="FR116" t="e">
        <f>AND(#REF!,"AAAAAB+eF60=")</f>
        <v>#REF!</v>
      </c>
      <c r="FS116" t="e">
        <f>AND(#REF!,"AAAAAB+eF64=")</f>
        <v>#REF!</v>
      </c>
      <c r="FT116" t="e">
        <f>AND(#REF!,"AAAAAB+eF68=")</f>
        <v>#REF!</v>
      </c>
      <c r="FU116" t="e">
        <f>AND(#REF!,"AAAAAB+eF7A=")</f>
        <v>#REF!</v>
      </c>
      <c r="FV116" t="e">
        <f>AND(#REF!,"AAAAAB+eF7E=")</f>
        <v>#REF!</v>
      </c>
      <c r="FW116" t="e">
        <f>IF(#REF!,"AAAAAB+eF7I=",0)</f>
        <v>#REF!</v>
      </c>
      <c r="FX116" t="e">
        <f>AND(#REF!,"AAAAAB+eF7M=")</f>
        <v>#REF!</v>
      </c>
      <c r="FY116" t="e">
        <f>AND(#REF!,"AAAAAB+eF7Q=")</f>
        <v>#REF!</v>
      </c>
      <c r="FZ116" t="e">
        <f>AND(#REF!,"AAAAAB+eF7U=")</f>
        <v>#REF!</v>
      </c>
      <c r="GA116" t="e">
        <f>AND(#REF!,"AAAAAB+eF7Y=")</f>
        <v>#REF!</v>
      </c>
      <c r="GB116" t="e">
        <f>AND(#REF!,"AAAAAB+eF7c=")</f>
        <v>#REF!</v>
      </c>
      <c r="GC116" t="e">
        <f>AND(#REF!,"AAAAAB+eF7g=")</f>
        <v>#REF!</v>
      </c>
      <c r="GD116" t="e">
        <f>IF(#REF!,"AAAAAB+eF7k=",0)</f>
        <v>#REF!</v>
      </c>
      <c r="GE116" t="e">
        <f>AND(#REF!,"AAAAAB+eF7o=")</f>
        <v>#REF!</v>
      </c>
      <c r="GF116" t="e">
        <f>AND(#REF!,"AAAAAB+eF7s=")</f>
        <v>#REF!</v>
      </c>
      <c r="GG116" t="e">
        <f>AND(#REF!,"AAAAAB+eF7w=")</f>
        <v>#REF!</v>
      </c>
      <c r="GH116" t="e">
        <f>AND(#REF!,"AAAAAB+eF70=")</f>
        <v>#REF!</v>
      </c>
      <c r="GI116" t="e">
        <f>AND(#REF!,"AAAAAB+eF74=")</f>
        <v>#REF!</v>
      </c>
      <c r="GJ116" t="e">
        <f>AND(#REF!,"AAAAAB+eF78=")</f>
        <v>#REF!</v>
      </c>
      <c r="GK116" t="e">
        <f>IF(#REF!,"AAAAAB+eF8A=",0)</f>
        <v>#REF!</v>
      </c>
      <c r="GL116" t="e">
        <f>AND(#REF!,"AAAAAB+eF8E=")</f>
        <v>#REF!</v>
      </c>
      <c r="GM116" t="e">
        <f>AND(#REF!,"AAAAAB+eF8I=")</f>
        <v>#REF!</v>
      </c>
      <c r="GN116" t="e">
        <f>AND(#REF!,"AAAAAB+eF8M=")</f>
        <v>#REF!</v>
      </c>
      <c r="GO116" t="e">
        <f>AND(#REF!,"AAAAAB+eF8Q=")</f>
        <v>#REF!</v>
      </c>
      <c r="GP116" t="e">
        <f>AND(#REF!,"AAAAAB+eF8U=")</f>
        <v>#REF!</v>
      </c>
      <c r="GQ116" t="e">
        <f>AND(#REF!,"AAAAAB+eF8Y=")</f>
        <v>#REF!</v>
      </c>
      <c r="GR116" t="e">
        <f>IF(#REF!,"AAAAAB+eF8c=",0)</f>
        <v>#REF!</v>
      </c>
      <c r="GS116" t="e">
        <f>AND(#REF!,"AAAAAB+eF8g=")</f>
        <v>#REF!</v>
      </c>
      <c r="GT116" t="e">
        <f>AND(#REF!,"AAAAAB+eF8k=")</f>
        <v>#REF!</v>
      </c>
      <c r="GU116" t="e">
        <f>AND(#REF!,"AAAAAB+eF8o=")</f>
        <v>#REF!</v>
      </c>
      <c r="GV116" t="e">
        <f>AND(#REF!,"AAAAAB+eF8s=")</f>
        <v>#REF!</v>
      </c>
      <c r="GW116" t="e">
        <f>AND(#REF!,"AAAAAB+eF8w=")</f>
        <v>#REF!</v>
      </c>
      <c r="GX116" t="e">
        <f>AND(#REF!,"AAAAAB+eF80=")</f>
        <v>#REF!</v>
      </c>
      <c r="GY116" t="e">
        <f>IF(#REF!,"AAAAAB+eF84=",0)</f>
        <v>#REF!</v>
      </c>
      <c r="GZ116" t="e">
        <f>AND(#REF!,"AAAAAB+eF88=")</f>
        <v>#REF!</v>
      </c>
      <c r="HA116" t="e">
        <f>AND(#REF!,"AAAAAB+eF9A=")</f>
        <v>#REF!</v>
      </c>
      <c r="HB116" t="e">
        <f>AND(#REF!,"AAAAAB+eF9E=")</f>
        <v>#REF!</v>
      </c>
      <c r="HC116" t="e">
        <f>AND(#REF!,"AAAAAB+eF9I=")</f>
        <v>#REF!</v>
      </c>
      <c r="HD116" t="e">
        <f>AND(#REF!,"AAAAAB+eF9M=")</f>
        <v>#REF!</v>
      </c>
      <c r="HE116" t="e">
        <f>AND(#REF!,"AAAAAB+eF9Q=")</f>
        <v>#REF!</v>
      </c>
      <c r="HF116" t="e">
        <f>IF(#REF!,"AAAAAB+eF9U=",0)</f>
        <v>#REF!</v>
      </c>
      <c r="HG116" t="e">
        <f>AND(#REF!,"AAAAAB+eF9Y=")</f>
        <v>#REF!</v>
      </c>
      <c r="HH116" t="e">
        <f>AND(#REF!,"AAAAAB+eF9c=")</f>
        <v>#REF!</v>
      </c>
      <c r="HI116" t="e">
        <f>AND(#REF!,"AAAAAB+eF9g=")</f>
        <v>#REF!</v>
      </c>
      <c r="HJ116" t="e">
        <f>AND(#REF!,"AAAAAB+eF9k=")</f>
        <v>#REF!</v>
      </c>
      <c r="HK116" t="e">
        <f>AND(#REF!,"AAAAAB+eF9o=")</f>
        <v>#REF!</v>
      </c>
      <c r="HL116" t="e">
        <f>AND(#REF!,"AAAAAB+eF9s=")</f>
        <v>#REF!</v>
      </c>
      <c r="HM116" t="e">
        <f>IF(#REF!,"AAAAAB+eF9w=",0)</f>
        <v>#REF!</v>
      </c>
      <c r="HN116" t="e">
        <f>AND(#REF!,"AAAAAB+eF90=")</f>
        <v>#REF!</v>
      </c>
      <c r="HO116" t="e">
        <f>AND(#REF!,"AAAAAB+eF94=")</f>
        <v>#REF!</v>
      </c>
      <c r="HP116" t="e">
        <f>AND(#REF!,"AAAAAB+eF98=")</f>
        <v>#REF!</v>
      </c>
      <c r="HQ116" t="e">
        <f>AND(#REF!,"AAAAAB+eF+A=")</f>
        <v>#REF!</v>
      </c>
      <c r="HR116" t="e">
        <f>AND(#REF!,"AAAAAB+eF+E=")</f>
        <v>#REF!</v>
      </c>
      <c r="HS116" t="e">
        <f>AND(#REF!,"AAAAAB+eF+I=")</f>
        <v>#REF!</v>
      </c>
      <c r="HT116" t="e">
        <f>IF(#REF!,"AAAAAB+eF+M=",0)</f>
        <v>#REF!</v>
      </c>
      <c r="HU116" t="e">
        <f>AND(#REF!,"AAAAAB+eF+Q=")</f>
        <v>#REF!</v>
      </c>
      <c r="HV116" t="e">
        <f>AND(#REF!,"AAAAAB+eF+U=")</f>
        <v>#REF!</v>
      </c>
      <c r="HW116" t="e">
        <f>AND(#REF!,"AAAAAB+eF+Y=")</f>
        <v>#REF!</v>
      </c>
      <c r="HX116" t="e">
        <f>AND(#REF!,"AAAAAB+eF+c=")</f>
        <v>#REF!</v>
      </c>
      <c r="HY116" t="e">
        <f>AND(#REF!,"AAAAAB+eF+g=")</f>
        <v>#REF!</v>
      </c>
      <c r="HZ116" t="e">
        <f>AND(#REF!,"AAAAAB+eF+k=")</f>
        <v>#REF!</v>
      </c>
      <c r="IA116" t="e">
        <f>IF(#REF!,"AAAAAB+eF+o=",0)</f>
        <v>#REF!</v>
      </c>
      <c r="IB116" t="e">
        <f>AND(#REF!,"AAAAAB+eF+s=")</f>
        <v>#REF!</v>
      </c>
      <c r="IC116" t="e">
        <f>AND(#REF!,"AAAAAB+eF+w=")</f>
        <v>#REF!</v>
      </c>
      <c r="ID116" t="e">
        <f>AND(#REF!,"AAAAAB+eF+0=")</f>
        <v>#REF!</v>
      </c>
      <c r="IE116" t="e">
        <f>AND(#REF!,"AAAAAB+eF+4=")</f>
        <v>#REF!</v>
      </c>
      <c r="IF116" t="e">
        <f>AND(#REF!,"AAAAAB+eF+8=")</f>
        <v>#REF!</v>
      </c>
      <c r="IG116" t="e">
        <f>AND(#REF!,"AAAAAB+eF/A=")</f>
        <v>#REF!</v>
      </c>
      <c r="IH116" t="e">
        <f>IF(#REF!,"AAAAAB+eF/E=",0)</f>
        <v>#REF!</v>
      </c>
      <c r="II116" t="e">
        <f>AND(#REF!,"AAAAAB+eF/I=")</f>
        <v>#REF!</v>
      </c>
      <c r="IJ116" t="e">
        <f>AND(#REF!,"AAAAAB+eF/M=")</f>
        <v>#REF!</v>
      </c>
      <c r="IK116" t="e">
        <f>AND(#REF!,"AAAAAB+eF/Q=")</f>
        <v>#REF!</v>
      </c>
      <c r="IL116" t="e">
        <f>AND(#REF!,"AAAAAB+eF/U=")</f>
        <v>#REF!</v>
      </c>
      <c r="IM116" t="e">
        <f>AND(#REF!,"AAAAAB+eF/Y=")</f>
        <v>#REF!</v>
      </c>
      <c r="IN116" t="e">
        <f>AND(#REF!,"AAAAAB+eF/c=")</f>
        <v>#REF!</v>
      </c>
      <c r="IO116" t="e">
        <f>IF(#REF!,"AAAAAB+eF/g=",0)</f>
        <v>#REF!</v>
      </c>
      <c r="IP116" t="e">
        <f>AND(#REF!,"AAAAAB+eF/k=")</f>
        <v>#REF!</v>
      </c>
      <c r="IQ116" t="e">
        <f>AND(#REF!,"AAAAAB+eF/o=")</f>
        <v>#REF!</v>
      </c>
      <c r="IR116" t="e">
        <f>AND(#REF!,"AAAAAB+eF/s=")</f>
        <v>#REF!</v>
      </c>
      <c r="IS116" t="e">
        <f>AND(#REF!,"AAAAAB+eF/w=")</f>
        <v>#REF!</v>
      </c>
      <c r="IT116" t="e">
        <f>AND(#REF!,"AAAAAB+eF/0=")</f>
        <v>#REF!</v>
      </c>
      <c r="IU116" t="e">
        <f>AND(#REF!,"AAAAAB+eF/4=")</f>
        <v>#REF!</v>
      </c>
      <c r="IV116" t="e">
        <f>IF(#REF!,"AAAAAB+eF/8=",0)</f>
        <v>#REF!</v>
      </c>
    </row>
    <row r="117" spans="1:256" x14ac:dyDescent="0.15">
      <c r="A117" t="e">
        <f>AND(#REF!,"AAAAAG3b+wA=")</f>
        <v>#REF!</v>
      </c>
      <c r="B117" t="e">
        <f>AND(#REF!,"AAAAAG3b+wE=")</f>
        <v>#REF!</v>
      </c>
      <c r="C117" t="e">
        <f>AND(#REF!,"AAAAAG3b+wI=")</f>
        <v>#REF!</v>
      </c>
      <c r="D117" t="e">
        <f>AND(#REF!,"AAAAAG3b+wM=")</f>
        <v>#REF!</v>
      </c>
      <c r="E117" t="e">
        <f>AND(#REF!,"AAAAAG3b+wQ=")</f>
        <v>#REF!</v>
      </c>
      <c r="F117" t="e">
        <f>AND(#REF!,"AAAAAG3b+wU=")</f>
        <v>#REF!</v>
      </c>
      <c r="G117" t="e">
        <f>IF(#REF!,"AAAAAG3b+wY=",0)</f>
        <v>#REF!</v>
      </c>
      <c r="H117" t="e">
        <f>AND(#REF!,"AAAAAG3b+wc=")</f>
        <v>#REF!</v>
      </c>
      <c r="I117" t="e">
        <f>AND(#REF!,"AAAAAG3b+wg=")</f>
        <v>#REF!</v>
      </c>
      <c r="J117" t="e">
        <f>AND(#REF!,"AAAAAG3b+wk=")</f>
        <v>#REF!</v>
      </c>
      <c r="K117" t="e">
        <f>AND(#REF!,"AAAAAG3b+wo=")</f>
        <v>#REF!</v>
      </c>
      <c r="L117" t="e">
        <f>AND(#REF!,"AAAAAG3b+ws=")</f>
        <v>#REF!</v>
      </c>
      <c r="M117" t="e">
        <f>AND(#REF!,"AAAAAG3b+ww=")</f>
        <v>#REF!</v>
      </c>
      <c r="N117" t="e">
        <f>IF(#REF!,"AAAAAG3b+w0=",0)</f>
        <v>#REF!</v>
      </c>
      <c r="O117" t="e">
        <f>AND(#REF!,"AAAAAG3b+w4=")</f>
        <v>#REF!</v>
      </c>
      <c r="P117" t="e">
        <f>AND(#REF!,"AAAAAG3b+w8=")</f>
        <v>#REF!</v>
      </c>
      <c r="Q117" t="e">
        <f>AND(#REF!,"AAAAAG3b+xA=")</f>
        <v>#REF!</v>
      </c>
      <c r="R117" t="e">
        <f>AND(#REF!,"AAAAAG3b+xE=")</f>
        <v>#REF!</v>
      </c>
      <c r="S117" t="e">
        <f>AND(#REF!,"AAAAAG3b+xI=")</f>
        <v>#REF!</v>
      </c>
      <c r="T117" t="e">
        <f>AND(#REF!,"AAAAAG3b+xM=")</f>
        <v>#REF!</v>
      </c>
      <c r="U117" t="e">
        <f>IF(#REF!,"AAAAAG3b+xQ=",0)</f>
        <v>#REF!</v>
      </c>
      <c r="V117" t="e">
        <f>AND(#REF!,"AAAAAG3b+xU=")</f>
        <v>#REF!</v>
      </c>
      <c r="W117" t="e">
        <f>AND(#REF!,"AAAAAG3b+xY=")</f>
        <v>#REF!</v>
      </c>
      <c r="X117" t="e">
        <f>AND(#REF!,"AAAAAG3b+xc=")</f>
        <v>#REF!</v>
      </c>
      <c r="Y117" t="e">
        <f>AND(#REF!,"AAAAAG3b+xg=")</f>
        <v>#REF!</v>
      </c>
      <c r="Z117" t="e">
        <f>AND(#REF!,"AAAAAG3b+xk=")</f>
        <v>#REF!</v>
      </c>
      <c r="AA117" t="e">
        <f>AND(#REF!,"AAAAAG3b+xo=")</f>
        <v>#REF!</v>
      </c>
      <c r="AB117" t="e">
        <f>IF(#REF!,"AAAAAG3b+xs=",0)</f>
        <v>#REF!</v>
      </c>
      <c r="AC117" t="e">
        <f>AND(#REF!,"AAAAAG3b+xw=")</f>
        <v>#REF!</v>
      </c>
      <c r="AD117" t="e">
        <f>AND(#REF!,"AAAAAG3b+x0=")</f>
        <v>#REF!</v>
      </c>
      <c r="AE117" t="e">
        <f>AND(#REF!,"AAAAAG3b+x4=")</f>
        <v>#REF!</v>
      </c>
      <c r="AF117" t="e">
        <f>AND(#REF!,"AAAAAG3b+x8=")</f>
        <v>#REF!</v>
      </c>
      <c r="AG117" t="e">
        <f>AND(#REF!,"AAAAAG3b+yA=")</f>
        <v>#REF!</v>
      </c>
      <c r="AH117" t="e">
        <f>AND(#REF!,"AAAAAG3b+yE=")</f>
        <v>#REF!</v>
      </c>
      <c r="AI117" t="e">
        <f>IF(#REF!,"AAAAAG3b+yI=",0)</f>
        <v>#REF!</v>
      </c>
      <c r="AJ117" t="e">
        <f>AND(#REF!,"AAAAAG3b+yM=")</f>
        <v>#REF!</v>
      </c>
      <c r="AK117" t="e">
        <f>AND(#REF!,"AAAAAG3b+yQ=")</f>
        <v>#REF!</v>
      </c>
      <c r="AL117" t="e">
        <f>AND(#REF!,"AAAAAG3b+yU=")</f>
        <v>#REF!</v>
      </c>
      <c r="AM117" t="e">
        <f>AND(#REF!,"AAAAAG3b+yY=")</f>
        <v>#REF!</v>
      </c>
      <c r="AN117" t="e">
        <f>AND(#REF!,"AAAAAG3b+yc=")</f>
        <v>#REF!</v>
      </c>
      <c r="AO117" t="e">
        <f>AND(#REF!,"AAAAAG3b+yg=")</f>
        <v>#REF!</v>
      </c>
      <c r="AP117" t="e">
        <f>IF(#REF!,"AAAAAG3b+yk=",0)</f>
        <v>#REF!</v>
      </c>
      <c r="AQ117" t="e">
        <f>AND(#REF!,"AAAAAG3b+yo=")</f>
        <v>#REF!</v>
      </c>
      <c r="AR117" t="e">
        <f>AND(#REF!,"AAAAAG3b+ys=")</f>
        <v>#REF!</v>
      </c>
      <c r="AS117" t="e">
        <f>AND(#REF!,"AAAAAG3b+yw=")</f>
        <v>#REF!</v>
      </c>
      <c r="AT117" t="e">
        <f>AND(#REF!,"AAAAAG3b+y0=")</f>
        <v>#REF!</v>
      </c>
      <c r="AU117" t="e">
        <f>AND(#REF!,"AAAAAG3b+y4=")</f>
        <v>#REF!</v>
      </c>
      <c r="AV117" t="e">
        <f>AND(#REF!,"AAAAAG3b+y8=")</f>
        <v>#REF!</v>
      </c>
      <c r="AW117" t="e">
        <f>IF(#REF!,"AAAAAG3b+zA=",0)</f>
        <v>#REF!</v>
      </c>
      <c r="AX117" t="e">
        <f>AND(#REF!,"AAAAAG3b+zE=")</f>
        <v>#REF!</v>
      </c>
      <c r="AY117" t="e">
        <f>AND(#REF!,"AAAAAG3b+zI=")</f>
        <v>#REF!</v>
      </c>
      <c r="AZ117" t="e">
        <f>AND(#REF!,"AAAAAG3b+zM=")</f>
        <v>#REF!</v>
      </c>
      <c r="BA117" t="e">
        <f>AND(#REF!,"AAAAAG3b+zQ=")</f>
        <v>#REF!</v>
      </c>
      <c r="BB117" t="e">
        <f>AND(#REF!,"AAAAAG3b+zU=")</f>
        <v>#REF!</v>
      </c>
      <c r="BC117" t="e">
        <f>AND(#REF!,"AAAAAG3b+zY=")</f>
        <v>#REF!</v>
      </c>
      <c r="BD117" t="e">
        <f>IF(#REF!,"AAAAAG3b+zc=",0)</f>
        <v>#REF!</v>
      </c>
      <c r="BE117" t="e">
        <f>AND(#REF!,"AAAAAG3b+zg=")</f>
        <v>#REF!</v>
      </c>
      <c r="BF117" t="e">
        <f>AND(#REF!,"AAAAAG3b+zk=")</f>
        <v>#REF!</v>
      </c>
      <c r="BG117" t="e">
        <f>AND(#REF!,"AAAAAG3b+zo=")</f>
        <v>#REF!</v>
      </c>
      <c r="BH117" t="e">
        <f>AND(#REF!,"AAAAAG3b+zs=")</f>
        <v>#REF!</v>
      </c>
      <c r="BI117" t="e">
        <f>AND(#REF!,"AAAAAG3b+zw=")</f>
        <v>#REF!</v>
      </c>
      <c r="BJ117" t="e">
        <f>AND(#REF!,"AAAAAG3b+z0=")</f>
        <v>#REF!</v>
      </c>
      <c r="BK117" t="e">
        <f>IF(#REF!,"AAAAAG3b+z4=",0)</f>
        <v>#REF!</v>
      </c>
      <c r="BL117" t="e">
        <f>AND(#REF!,"AAAAAG3b+z8=")</f>
        <v>#REF!</v>
      </c>
      <c r="BM117" t="e">
        <f>AND(#REF!,"AAAAAG3b+0A=")</f>
        <v>#REF!</v>
      </c>
      <c r="BN117" t="e">
        <f>AND(#REF!,"AAAAAG3b+0E=")</f>
        <v>#REF!</v>
      </c>
      <c r="BO117" t="e">
        <f>AND(#REF!,"AAAAAG3b+0I=")</f>
        <v>#REF!</v>
      </c>
      <c r="BP117" t="e">
        <f>AND(#REF!,"AAAAAG3b+0M=")</f>
        <v>#REF!</v>
      </c>
      <c r="BQ117" t="e">
        <f>AND(#REF!,"AAAAAG3b+0Q=")</f>
        <v>#REF!</v>
      </c>
      <c r="BR117" t="e">
        <f>IF(#REF!,"AAAAAG3b+0U=",0)</f>
        <v>#REF!</v>
      </c>
      <c r="BS117" t="e">
        <f>AND(#REF!,"AAAAAG3b+0Y=")</f>
        <v>#REF!</v>
      </c>
      <c r="BT117" t="e">
        <f>AND(#REF!,"AAAAAG3b+0c=")</f>
        <v>#REF!</v>
      </c>
      <c r="BU117" t="e">
        <f>AND(#REF!,"AAAAAG3b+0g=")</f>
        <v>#REF!</v>
      </c>
      <c r="BV117" t="e">
        <f>AND(#REF!,"AAAAAG3b+0k=")</f>
        <v>#REF!</v>
      </c>
      <c r="BW117" t="e">
        <f>AND(#REF!,"AAAAAG3b+0o=")</f>
        <v>#REF!</v>
      </c>
      <c r="BX117" t="e">
        <f>AND(#REF!,"AAAAAG3b+0s=")</f>
        <v>#REF!</v>
      </c>
      <c r="BY117" t="e">
        <f>IF(#REF!,"AAAAAG3b+0w=",0)</f>
        <v>#REF!</v>
      </c>
      <c r="BZ117" t="e">
        <f>AND(#REF!,"AAAAAG3b+00=")</f>
        <v>#REF!</v>
      </c>
      <c r="CA117" t="e">
        <f>AND(#REF!,"AAAAAG3b+04=")</f>
        <v>#REF!</v>
      </c>
      <c r="CB117" t="e">
        <f>AND(#REF!,"AAAAAG3b+08=")</f>
        <v>#REF!</v>
      </c>
      <c r="CC117" t="e">
        <f>AND(#REF!,"AAAAAG3b+1A=")</f>
        <v>#REF!</v>
      </c>
      <c r="CD117" t="e">
        <f>AND(#REF!,"AAAAAG3b+1E=")</f>
        <v>#REF!</v>
      </c>
      <c r="CE117" t="e">
        <f>AND(#REF!,"AAAAAG3b+1I=")</f>
        <v>#REF!</v>
      </c>
      <c r="CF117" t="e">
        <f>IF(#REF!,"AAAAAG3b+1M=",0)</f>
        <v>#REF!</v>
      </c>
      <c r="CG117" t="e">
        <f>AND(#REF!,"AAAAAG3b+1Q=")</f>
        <v>#REF!</v>
      </c>
      <c r="CH117" t="e">
        <f>AND(#REF!,"AAAAAG3b+1U=")</f>
        <v>#REF!</v>
      </c>
      <c r="CI117" t="e">
        <f>AND(#REF!,"AAAAAG3b+1Y=")</f>
        <v>#REF!</v>
      </c>
      <c r="CJ117" t="e">
        <f>AND(#REF!,"AAAAAG3b+1c=")</f>
        <v>#REF!</v>
      </c>
      <c r="CK117" t="e">
        <f>AND(#REF!,"AAAAAG3b+1g=")</f>
        <v>#REF!</v>
      </c>
      <c r="CL117" t="e">
        <f>AND(#REF!,"AAAAAG3b+1k=")</f>
        <v>#REF!</v>
      </c>
      <c r="CM117" t="e">
        <f>IF(#REF!,"AAAAAG3b+1o=",0)</f>
        <v>#REF!</v>
      </c>
      <c r="CN117" t="e">
        <f>AND(#REF!,"AAAAAG3b+1s=")</f>
        <v>#REF!</v>
      </c>
      <c r="CO117" t="e">
        <f>AND(#REF!,"AAAAAG3b+1w=")</f>
        <v>#REF!</v>
      </c>
      <c r="CP117" t="e">
        <f>AND(#REF!,"AAAAAG3b+10=")</f>
        <v>#REF!</v>
      </c>
      <c r="CQ117" t="e">
        <f>AND(#REF!,"AAAAAG3b+14=")</f>
        <v>#REF!</v>
      </c>
      <c r="CR117" t="e">
        <f>AND(#REF!,"AAAAAG3b+18=")</f>
        <v>#REF!</v>
      </c>
      <c r="CS117" t="e">
        <f>AND(#REF!,"AAAAAG3b+2A=")</f>
        <v>#REF!</v>
      </c>
      <c r="CT117" t="e">
        <f>IF(#REF!,"AAAAAG3b+2E=",0)</f>
        <v>#REF!</v>
      </c>
      <c r="CU117" t="e">
        <f>AND(#REF!,"AAAAAG3b+2I=")</f>
        <v>#REF!</v>
      </c>
      <c r="CV117" t="e">
        <f>AND(#REF!,"AAAAAG3b+2M=")</f>
        <v>#REF!</v>
      </c>
      <c r="CW117" t="e">
        <f>AND(#REF!,"AAAAAG3b+2Q=")</f>
        <v>#REF!</v>
      </c>
      <c r="CX117" t="e">
        <f>AND(#REF!,"AAAAAG3b+2U=")</f>
        <v>#REF!</v>
      </c>
      <c r="CY117" t="e">
        <f>AND(#REF!,"AAAAAG3b+2Y=")</f>
        <v>#REF!</v>
      </c>
      <c r="CZ117" t="e">
        <f>AND(#REF!,"AAAAAG3b+2c=")</f>
        <v>#REF!</v>
      </c>
      <c r="DA117" t="e">
        <f>IF(#REF!,"AAAAAG3b+2g=",0)</f>
        <v>#REF!</v>
      </c>
      <c r="DB117" t="e">
        <f>AND(#REF!,"AAAAAG3b+2k=")</f>
        <v>#REF!</v>
      </c>
      <c r="DC117" t="e">
        <f>AND(#REF!,"AAAAAG3b+2o=")</f>
        <v>#REF!</v>
      </c>
      <c r="DD117" t="e">
        <f>AND(#REF!,"AAAAAG3b+2s=")</f>
        <v>#REF!</v>
      </c>
      <c r="DE117" t="e">
        <f>AND(#REF!,"AAAAAG3b+2w=")</f>
        <v>#REF!</v>
      </c>
      <c r="DF117" t="e">
        <f>AND(#REF!,"AAAAAG3b+20=")</f>
        <v>#REF!</v>
      </c>
      <c r="DG117" t="e">
        <f>AND(#REF!,"AAAAAG3b+24=")</f>
        <v>#REF!</v>
      </c>
      <c r="DH117" t="e">
        <f>IF(#REF!,"AAAAAG3b+28=",0)</f>
        <v>#REF!</v>
      </c>
      <c r="DI117" t="e">
        <f>AND(#REF!,"AAAAAG3b+3A=")</f>
        <v>#REF!</v>
      </c>
      <c r="DJ117" t="e">
        <f>AND(#REF!,"AAAAAG3b+3E=")</f>
        <v>#REF!</v>
      </c>
      <c r="DK117" t="e">
        <f>AND(#REF!,"AAAAAG3b+3I=")</f>
        <v>#REF!</v>
      </c>
      <c r="DL117" t="e">
        <f>AND(#REF!,"AAAAAG3b+3M=")</f>
        <v>#REF!</v>
      </c>
      <c r="DM117" t="e">
        <f>AND(#REF!,"AAAAAG3b+3Q=")</f>
        <v>#REF!</v>
      </c>
      <c r="DN117" t="e">
        <f>AND(#REF!,"AAAAAG3b+3U=")</f>
        <v>#REF!</v>
      </c>
      <c r="DO117" t="e">
        <f>IF(#REF!,"AAAAAG3b+3Y=",0)</f>
        <v>#REF!</v>
      </c>
      <c r="DP117" t="e">
        <f>AND(#REF!,"AAAAAG3b+3c=")</f>
        <v>#REF!</v>
      </c>
      <c r="DQ117" t="e">
        <f>AND(#REF!,"AAAAAG3b+3g=")</f>
        <v>#REF!</v>
      </c>
      <c r="DR117" t="e">
        <f>AND(#REF!,"AAAAAG3b+3k=")</f>
        <v>#REF!</v>
      </c>
      <c r="DS117" t="e">
        <f>AND(#REF!,"AAAAAG3b+3o=")</f>
        <v>#REF!</v>
      </c>
      <c r="DT117" t="e">
        <f>AND(#REF!,"AAAAAG3b+3s=")</f>
        <v>#REF!</v>
      </c>
      <c r="DU117" t="e">
        <f>AND(#REF!,"AAAAAG3b+3w=")</f>
        <v>#REF!</v>
      </c>
      <c r="DV117" t="e">
        <f>IF(#REF!,"AAAAAG3b+30=",0)</f>
        <v>#REF!</v>
      </c>
      <c r="DW117" t="e">
        <f>AND(#REF!,"AAAAAG3b+34=")</f>
        <v>#REF!</v>
      </c>
      <c r="DX117" t="e">
        <f>AND(#REF!,"AAAAAG3b+38=")</f>
        <v>#REF!</v>
      </c>
      <c r="DY117" t="e">
        <f>AND(#REF!,"AAAAAG3b+4A=")</f>
        <v>#REF!</v>
      </c>
      <c r="DZ117" t="e">
        <f>AND(#REF!,"AAAAAG3b+4E=")</f>
        <v>#REF!</v>
      </c>
      <c r="EA117" t="e">
        <f>AND(#REF!,"AAAAAG3b+4I=")</f>
        <v>#REF!</v>
      </c>
      <c r="EB117" t="e">
        <f>AND(#REF!,"AAAAAG3b+4M=")</f>
        <v>#REF!</v>
      </c>
      <c r="EC117" t="e">
        <f>IF(#REF!,"AAAAAG3b+4Q=",0)</f>
        <v>#REF!</v>
      </c>
      <c r="ED117" t="e">
        <f>AND(#REF!,"AAAAAG3b+4U=")</f>
        <v>#REF!</v>
      </c>
      <c r="EE117" t="e">
        <f>AND(#REF!,"AAAAAG3b+4Y=")</f>
        <v>#REF!</v>
      </c>
      <c r="EF117" t="e">
        <f>AND(#REF!,"AAAAAG3b+4c=")</f>
        <v>#REF!</v>
      </c>
      <c r="EG117" t="e">
        <f>AND(#REF!,"AAAAAG3b+4g=")</f>
        <v>#REF!</v>
      </c>
      <c r="EH117" t="e">
        <f>AND(#REF!,"AAAAAG3b+4k=")</f>
        <v>#REF!</v>
      </c>
      <c r="EI117" t="e">
        <f>AND(#REF!,"AAAAAG3b+4o=")</f>
        <v>#REF!</v>
      </c>
      <c r="EJ117" t="e">
        <f>IF(#REF!,"AAAAAG3b+4s=",0)</f>
        <v>#REF!</v>
      </c>
      <c r="EK117" t="e">
        <f>AND(#REF!,"AAAAAG3b+4w=")</f>
        <v>#REF!</v>
      </c>
      <c r="EL117" t="e">
        <f>AND(#REF!,"AAAAAG3b+40=")</f>
        <v>#REF!</v>
      </c>
      <c r="EM117" t="e">
        <f>AND(#REF!,"AAAAAG3b+44=")</f>
        <v>#REF!</v>
      </c>
      <c r="EN117" t="e">
        <f>AND(#REF!,"AAAAAG3b+48=")</f>
        <v>#REF!</v>
      </c>
      <c r="EO117" t="e">
        <f>AND(#REF!,"AAAAAG3b+5A=")</f>
        <v>#REF!</v>
      </c>
      <c r="EP117" t="e">
        <f>AND(#REF!,"AAAAAG3b+5E=")</f>
        <v>#REF!</v>
      </c>
      <c r="EQ117" t="e">
        <f>IF(#REF!,"AAAAAG3b+5I=",0)</f>
        <v>#REF!</v>
      </c>
      <c r="ER117" t="e">
        <f>AND(#REF!,"AAAAAG3b+5M=")</f>
        <v>#REF!</v>
      </c>
      <c r="ES117" t="e">
        <f>AND(#REF!,"AAAAAG3b+5Q=")</f>
        <v>#REF!</v>
      </c>
      <c r="ET117" t="e">
        <f>AND(#REF!,"AAAAAG3b+5U=")</f>
        <v>#REF!</v>
      </c>
      <c r="EU117" t="e">
        <f>AND(#REF!,"AAAAAG3b+5Y=")</f>
        <v>#REF!</v>
      </c>
      <c r="EV117" t="e">
        <f>AND(#REF!,"AAAAAG3b+5c=")</f>
        <v>#REF!</v>
      </c>
      <c r="EW117" t="e">
        <f>AND(#REF!,"AAAAAG3b+5g=")</f>
        <v>#REF!</v>
      </c>
      <c r="EX117" t="e">
        <f>IF(#REF!,"AAAAAG3b+5k=",0)</f>
        <v>#REF!</v>
      </c>
      <c r="EY117" t="e">
        <f>AND(#REF!,"AAAAAG3b+5o=")</f>
        <v>#REF!</v>
      </c>
      <c r="EZ117" t="e">
        <f>AND(#REF!,"AAAAAG3b+5s=")</f>
        <v>#REF!</v>
      </c>
      <c r="FA117" t="e">
        <f>AND(#REF!,"AAAAAG3b+5w=")</f>
        <v>#REF!</v>
      </c>
      <c r="FB117" t="e">
        <f>AND(#REF!,"AAAAAG3b+50=")</f>
        <v>#REF!</v>
      </c>
      <c r="FC117" t="e">
        <f>AND(#REF!,"AAAAAG3b+54=")</f>
        <v>#REF!</v>
      </c>
      <c r="FD117" t="e">
        <f>AND(#REF!,"AAAAAG3b+58=")</f>
        <v>#REF!</v>
      </c>
      <c r="FE117" t="e">
        <f>IF(#REF!,"AAAAAG3b+6A=",0)</f>
        <v>#REF!</v>
      </c>
      <c r="FF117" t="e">
        <f>AND(#REF!,"AAAAAG3b+6E=")</f>
        <v>#REF!</v>
      </c>
      <c r="FG117" t="e">
        <f>AND(#REF!,"AAAAAG3b+6I=")</f>
        <v>#REF!</v>
      </c>
      <c r="FH117" t="e">
        <f>AND(#REF!,"AAAAAG3b+6M=")</f>
        <v>#REF!</v>
      </c>
      <c r="FI117" t="e">
        <f>AND(#REF!,"AAAAAG3b+6Q=")</f>
        <v>#REF!</v>
      </c>
      <c r="FJ117" t="e">
        <f>AND(#REF!,"AAAAAG3b+6U=")</f>
        <v>#REF!</v>
      </c>
      <c r="FK117" t="e">
        <f>AND(#REF!,"AAAAAG3b+6Y=")</f>
        <v>#REF!</v>
      </c>
      <c r="FL117" t="e">
        <f>IF(#REF!,"AAAAAG3b+6c=",0)</f>
        <v>#REF!</v>
      </c>
      <c r="FM117" t="e">
        <f>AND(#REF!,"AAAAAG3b+6g=")</f>
        <v>#REF!</v>
      </c>
      <c r="FN117" t="e">
        <f>AND(#REF!,"AAAAAG3b+6k=")</f>
        <v>#REF!</v>
      </c>
      <c r="FO117" t="e">
        <f>AND(#REF!,"AAAAAG3b+6o=")</f>
        <v>#REF!</v>
      </c>
      <c r="FP117" t="e">
        <f>AND(#REF!,"AAAAAG3b+6s=")</f>
        <v>#REF!</v>
      </c>
      <c r="FQ117" t="e">
        <f>AND(#REF!,"AAAAAG3b+6w=")</f>
        <v>#REF!</v>
      </c>
      <c r="FR117" t="e">
        <f>AND(#REF!,"AAAAAG3b+60=")</f>
        <v>#REF!</v>
      </c>
      <c r="FS117" t="e">
        <f>IF(#REF!,"AAAAAG3b+64=",0)</f>
        <v>#REF!</v>
      </c>
      <c r="FT117" t="e">
        <f>AND(#REF!,"AAAAAG3b+68=")</f>
        <v>#REF!</v>
      </c>
      <c r="FU117" t="e">
        <f>AND(#REF!,"AAAAAG3b+7A=")</f>
        <v>#REF!</v>
      </c>
      <c r="FV117" t="e">
        <f>AND(#REF!,"AAAAAG3b+7E=")</f>
        <v>#REF!</v>
      </c>
      <c r="FW117" t="e">
        <f>AND(#REF!,"AAAAAG3b+7I=")</f>
        <v>#REF!</v>
      </c>
      <c r="FX117" t="e">
        <f>AND(#REF!,"AAAAAG3b+7M=")</f>
        <v>#REF!</v>
      </c>
      <c r="FY117" t="e">
        <f>AND(#REF!,"AAAAAG3b+7Q=")</f>
        <v>#REF!</v>
      </c>
      <c r="FZ117" t="e">
        <f>IF(#REF!,"AAAAAG3b+7U=",0)</f>
        <v>#REF!</v>
      </c>
      <c r="GA117" t="e">
        <f>AND(#REF!,"AAAAAG3b+7Y=")</f>
        <v>#REF!</v>
      </c>
      <c r="GB117" t="e">
        <f>AND(#REF!,"AAAAAG3b+7c=")</f>
        <v>#REF!</v>
      </c>
      <c r="GC117" t="e">
        <f>AND(#REF!,"AAAAAG3b+7g=")</f>
        <v>#REF!</v>
      </c>
      <c r="GD117" t="e">
        <f>AND(#REF!,"AAAAAG3b+7k=")</f>
        <v>#REF!</v>
      </c>
      <c r="GE117" t="e">
        <f>AND(#REF!,"AAAAAG3b+7o=")</f>
        <v>#REF!</v>
      </c>
      <c r="GF117" t="e">
        <f>AND(#REF!,"AAAAAG3b+7s=")</f>
        <v>#REF!</v>
      </c>
      <c r="GG117" t="e">
        <f>IF(#REF!,"AAAAAG3b+7w=",0)</f>
        <v>#REF!</v>
      </c>
      <c r="GH117" t="e">
        <f>AND(#REF!,"AAAAAG3b+70=")</f>
        <v>#REF!</v>
      </c>
      <c r="GI117" t="e">
        <f>AND(#REF!,"AAAAAG3b+74=")</f>
        <v>#REF!</v>
      </c>
      <c r="GJ117" t="e">
        <f>AND(#REF!,"AAAAAG3b+78=")</f>
        <v>#REF!</v>
      </c>
      <c r="GK117" t="e">
        <f>AND(#REF!,"AAAAAG3b+8A=")</f>
        <v>#REF!</v>
      </c>
      <c r="GL117" t="e">
        <f>AND(#REF!,"AAAAAG3b+8E=")</f>
        <v>#REF!</v>
      </c>
      <c r="GM117" t="e">
        <f>AND(#REF!,"AAAAAG3b+8I=")</f>
        <v>#REF!</v>
      </c>
      <c r="GN117" t="e">
        <f>IF(#REF!,"AAAAAG3b+8M=",0)</f>
        <v>#REF!</v>
      </c>
      <c r="GO117" t="e">
        <f>AND(#REF!,"AAAAAG3b+8Q=")</f>
        <v>#REF!</v>
      </c>
      <c r="GP117" t="e">
        <f>AND(#REF!,"AAAAAG3b+8U=")</f>
        <v>#REF!</v>
      </c>
      <c r="GQ117" t="e">
        <f>AND(#REF!,"AAAAAG3b+8Y=")</f>
        <v>#REF!</v>
      </c>
      <c r="GR117" t="e">
        <f>AND(#REF!,"AAAAAG3b+8c=")</f>
        <v>#REF!</v>
      </c>
      <c r="GS117" t="e">
        <f>AND(#REF!,"AAAAAG3b+8g=")</f>
        <v>#REF!</v>
      </c>
      <c r="GT117" t="e">
        <f>AND(#REF!,"AAAAAG3b+8k=")</f>
        <v>#REF!</v>
      </c>
      <c r="GU117" t="e">
        <f>IF(#REF!,"AAAAAG3b+8o=",0)</f>
        <v>#REF!</v>
      </c>
      <c r="GV117" t="e">
        <f>AND(#REF!,"AAAAAG3b+8s=")</f>
        <v>#REF!</v>
      </c>
      <c r="GW117" t="e">
        <f>AND(#REF!,"AAAAAG3b+8w=")</f>
        <v>#REF!</v>
      </c>
      <c r="GX117" t="e">
        <f>AND(#REF!,"AAAAAG3b+80=")</f>
        <v>#REF!</v>
      </c>
      <c r="GY117" t="e">
        <f>AND(#REF!,"AAAAAG3b+84=")</f>
        <v>#REF!</v>
      </c>
      <c r="GZ117" t="e">
        <f>AND(#REF!,"AAAAAG3b+88=")</f>
        <v>#REF!</v>
      </c>
      <c r="HA117" t="e">
        <f>AND(#REF!,"AAAAAG3b+9A=")</f>
        <v>#REF!</v>
      </c>
      <c r="HB117" t="e">
        <f>IF(#REF!,"AAAAAG3b+9E=",0)</f>
        <v>#REF!</v>
      </c>
      <c r="HC117" t="e">
        <f>AND(#REF!,"AAAAAG3b+9I=")</f>
        <v>#REF!</v>
      </c>
      <c r="HD117" t="e">
        <f>AND(#REF!,"AAAAAG3b+9M=")</f>
        <v>#REF!</v>
      </c>
      <c r="HE117" t="e">
        <f>AND(#REF!,"AAAAAG3b+9Q=")</f>
        <v>#REF!</v>
      </c>
      <c r="HF117" t="e">
        <f>AND(#REF!,"AAAAAG3b+9U=")</f>
        <v>#REF!</v>
      </c>
      <c r="HG117" t="e">
        <f>AND(#REF!,"AAAAAG3b+9Y=")</f>
        <v>#REF!</v>
      </c>
      <c r="HH117" t="e">
        <f>AND(#REF!,"AAAAAG3b+9c=")</f>
        <v>#REF!</v>
      </c>
      <c r="HI117" t="e">
        <f>IF(#REF!,"AAAAAG3b+9g=",0)</f>
        <v>#REF!</v>
      </c>
      <c r="HJ117" t="e">
        <f>AND(#REF!,"AAAAAG3b+9k=")</f>
        <v>#REF!</v>
      </c>
      <c r="HK117" t="e">
        <f>AND(#REF!,"AAAAAG3b+9o=")</f>
        <v>#REF!</v>
      </c>
      <c r="HL117" t="e">
        <f>AND(#REF!,"AAAAAG3b+9s=")</f>
        <v>#REF!</v>
      </c>
      <c r="HM117" t="e">
        <f>AND(#REF!,"AAAAAG3b+9w=")</f>
        <v>#REF!</v>
      </c>
      <c r="HN117" t="e">
        <f>AND(#REF!,"AAAAAG3b+90=")</f>
        <v>#REF!</v>
      </c>
      <c r="HO117" t="e">
        <f>AND(#REF!,"AAAAAG3b+94=")</f>
        <v>#REF!</v>
      </c>
      <c r="HP117" t="e">
        <f>IF(#REF!,"AAAAAG3b+98=",0)</f>
        <v>#REF!</v>
      </c>
      <c r="HQ117" t="e">
        <f>AND(#REF!,"AAAAAG3b++A=")</f>
        <v>#REF!</v>
      </c>
      <c r="HR117" t="e">
        <f>AND(#REF!,"AAAAAG3b++E=")</f>
        <v>#REF!</v>
      </c>
      <c r="HS117" t="e">
        <f>AND(#REF!,"AAAAAG3b++I=")</f>
        <v>#REF!</v>
      </c>
      <c r="HT117" t="e">
        <f>AND(#REF!,"AAAAAG3b++M=")</f>
        <v>#REF!</v>
      </c>
      <c r="HU117" t="e">
        <f>AND(#REF!,"AAAAAG3b++Q=")</f>
        <v>#REF!</v>
      </c>
      <c r="HV117" t="e">
        <f>AND(#REF!,"AAAAAG3b++U=")</f>
        <v>#REF!</v>
      </c>
      <c r="HW117" t="e">
        <f>IF(#REF!,"AAAAAG3b++Y=",0)</f>
        <v>#REF!</v>
      </c>
      <c r="HX117" t="e">
        <f>AND(#REF!,"AAAAAG3b++c=")</f>
        <v>#REF!</v>
      </c>
      <c r="HY117" t="e">
        <f>AND(#REF!,"AAAAAG3b++g=")</f>
        <v>#REF!</v>
      </c>
      <c r="HZ117" t="e">
        <f>AND(#REF!,"AAAAAG3b++k=")</f>
        <v>#REF!</v>
      </c>
      <c r="IA117" t="e">
        <f>AND(#REF!,"AAAAAG3b++o=")</f>
        <v>#REF!</v>
      </c>
      <c r="IB117" t="e">
        <f>AND(#REF!,"AAAAAG3b++s=")</f>
        <v>#REF!</v>
      </c>
      <c r="IC117" t="e">
        <f>AND(#REF!,"AAAAAG3b++w=")</f>
        <v>#REF!</v>
      </c>
      <c r="ID117" t="e">
        <f>IF(#REF!,"AAAAAG3b++0=",0)</f>
        <v>#REF!</v>
      </c>
      <c r="IE117" t="e">
        <f>AND(#REF!,"AAAAAG3b++4=")</f>
        <v>#REF!</v>
      </c>
      <c r="IF117" t="e">
        <f>AND(#REF!,"AAAAAG3b++8=")</f>
        <v>#REF!</v>
      </c>
      <c r="IG117" t="e">
        <f>AND(#REF!,"AAAAAG3b+/A=")</f>
        <v>#REF!</v>
      </c>
      <c r="IH117" t="e">
        <f>AND(#REF!,"AAAAAG3b+/E=")</f>
        <v>#REF!</v>
      </c>
      <c r="II117" t="e">
        <f>AND(#REF!,"AAAAAG3b+/I=")</f>
        <v>#REF!</v>
      </c>
      <c r="IJ117" t="e">
        <f>AND(#REF!,"AAAAAG3b+/M=")</f>
        <v>#REF!</v>
      </c>
      <c r="IK117" t="e">
        <f>IF(#REF!,"AAAAAG3b+/Q=",0)</f>
        <v>#REF!</v>
      </c>
      <c r="IL117" t="e">
        <f>AND(#REF!,"AAAAAG3b+/U=")</f>
        <v>#REF!</v>
      </c>
      <c r="IM117" t="e">
        <f>AND(#REF!,"AAAAAG3b+/Y=")</f>
        <v>#REF!</v>
      </c>
      <c r="IN117" t="e">
        <f>AND(#REF!,"AAAAAG3b+/c=")</f>
        <v>#REF!</v>
      </c>
      <c r="IO117" t="e">
        <f>AND(#REF!,"AAAAAG3b+/g=")</f>
        <v>#REF!</v>
      </c>
      <c r="IP117" t="e">
        <f>AND(#REF!,"AAAAAG3b+/k=")</f>
        <v>#REF!</v>
      </c>
      <c r="IQ117" t="e">
        <f>AND(#REF!,"AAAAAG3b+/o=")</f>
        <v>#REF!</v>
      </c>
      <c r="IR117" t="e">
        <f>IF(#REF!,"AAAAAG3b+/s=",0)</f>
        <v>#REF!</v>
      </c>
      <c r="IS117" t="e">
        <f>AND(#REF!,"AAAAAG3b+/w=")</f>
        <v>#REF!</v>
      </c>
      <c r="IT117" t="e">
        <f>AND(#REF!,"AAAAAG3b+/0=")</f>
        <v>#REF!</v>
      </c>
      <c r="IU117" t="e">
        <f>AND(#REF!,"AAAAAG3b+/4=")</f>
        <v>#REF!</v>
      </c>
      <c r="IV117" t="e">
        <f>AND(#REF!,"AAAAAG3b+/8=")</f>
        <v>#REF!</v>
      </c>
    </row>
    <row r="118" spans="1:256" x14ac:dyDescent="0.15">
      <c r="A118" t="e">
        <f>AND(#REF!,"AAAAAH81PwA=")</f>
        <v>#REF!</v>
      </c>
      <c r="B118" t="e">
        <f>AND(#REF!,"AAAAAH81PwE=")</f>
        <v>#REF!</v>
      </c>
      <c r="C118" t="e">
        <f>IF(#REF!,"AAAAAH81PwI=",0)</f>
        <v>#REF!</v>
      </c>
      <c r="D118" t="e">
        <f>AND(#REF!,"AAAAAH81PwM=")</f>
        <v>#REF!</v>
      </c>
      <c r="E118" t="e">
        <f>AND(#REF!,"AAAAAH81PwQ=")</f>
        <v>#REF!</v>
      </c>
      <c r="F118" t="e">
        <f>AND(#REF!,"AAAAAH81PwU=")</f>
        <v>#REF!</v>
      </c>
      <c r="G118" t="e">
        <f>AND(#REF!,"AAAAAH81PwY=")</f>
        <v>#REF!</v>
      </c>
      <c r="H118" t="e">
        <f>AND(#REF!,"AAAAAH81Pwc=")</f>
        <v>#REF!</v>
      </c>
      <c r="I118" t="e">
        <f>AND(#REF!,"AAAAAH81Pwg=")</f>
        <v>#REF!</v>
      </c>
      <c r="J118" t="e">
        <f>IF(#REF!,"AAAAAH81Pwk=",0)</f>
        <v>#REF!</v>
      </c>
      <c r="K118" t="e">
        <f>AND(#REF!,"AAAAAH81Pwo=")</f>
        <v>#REF!</v>
      </c>
      <c r="L118" t="e">
        <f>AND(#REF!,"AAAAAH81Pws=")</f>
        <v>#REF!</v>
      </c>
      <c r="M118" t="e">
        <f>AND(#REF!,"AAAAAH81Pww=")</f>
        <v>#REF!</v>
      </c>
      <c r="N118" t="e">
        <f>AND(#REF!,"AAAAAH81Pw0=")</f>
        <v>#REF!</v>
      </c>
      <c r="O118" t="e">
        <f>AND(#REF!,"AAAAAH81Pw4=")</f>
        <v>#REF!</v>
      </c>
      <c r="P118" t="e">
        <f>AND(#REF!,"AAAAAH81Pw8=")</f>
        <v>#REF!</v>
      </c>
      <c r="Q118" t="e">
        <f>IF(#REF!,"AAAAAH81PxA=",0)</f>
        <v>#REF!</v>
      </c>
      <c r="R118" t="e">
        <f>AND(#REF!,"AAAAAH81PxE=")</f>
        <v>#REF!</v>
      </c>
      <c r="S118" t="e">
        <f>AND(#REF!,"AAAAAH81PxI=")</f>
        <v>#REF!</v>
      </c>
      <c r="T118" t="e">
        <f>AND(#REF!,"AAAAAH81PxM=")</f>
        <v>#REF!</v>
      </c>
      <c r="U118" t="e">
        <f>AND(#REF!,"AAAAAH81PxQ=")</f>
        <v>#REF!</v>
      </c>
      <c r="V118" t="e">
        <f>AND(#REF!,"AAAAAH81PxU=")</f>
        <v>#REF!</v>
      </c>
      <c r="W118" t="e">
        <f>AND(#REF!,"AAAAAH81PxY=")</f>
        <v>#REF!</v>
      </c>
      <c r="X118" t="e">
        <f>IF(#REF!,"AAAAAH81Pxc=",0)</f>
        <v>#REF!</v>
      </c>
      <c r="Y118" t="e">
        <f>AND(#REF!,"AAAAAH81Pxg=")</f>
        <v>#REF!</v>
      </c>
      <c r="Z118" t="e">
        <f>AND(#REF!,"AAAAAH81Pxk=")</f>
        <v>#REF!</v>
      </c>
      <c r="AA118" t="e">
        <f>AND(#REF!,"AAAAAH81Pxo=")</f>
        <v>#REF!</v>
      </c>
      <c r="AB118" t="e">
        <f>AND(#REF!,"AAAAAH81Pxs=")</f>
        <v>#REF!</v>
      </c>
      <c r="AC118" t="e">
        <f>AND(#REF!,"AAAAAH81Pxw=")</f>
        <v>#REF!</v>
      </c>
      <c r="AD118" t="e">
        <f>AND(#REF!,"AAAAAH81Px0=")</f>
        <v>#REF!</v>
      </c>
      <c r="AE118" t="e">
        <f>IF(#REF!,"AAAAAH81Px4=",0)</f>
        <v>#REF!</v>
      </c>
      <c r="AF118" t="e">
        <f>AND(#REF!,"AAAAAH81Px8=")</f>
        <v>#REF!</v>
      </c>
      <c r="AG118" t="e">
        <f>AND(#REF!,"AAAAAH81PyA=")</f>
        <v>#REF!</v>
      </c>
      <c r="AH118" t="e">
        <f>AND(#REF!,"AAAAAH81PyE=")</f>
        <v>#REF!</v>
      </c>
      <c r="AI118" t="e">
        <f>AND(#REF!,"AAAAAH81PyI=")</f>
        <v>#REF!</v>
      </c>
      <c r="AJ118" t="e">
        <f>AND(#REF!,"AAAAAH81PyM=")</f>
        <v>#REF!</v>
      </c>
      <c r="AK118" t="e">
        <f>AND(#REF!,"AAAAAH81PyQ=")</f>
        <v>#REF!</v>
      </c>
      <c r="AL118" t="e">
        <f>IF(#REF!,"AAAAAH81PyU=",0)</f>
        <v>#REF!</v>
      </c>
      <c r="AM118" t="e">
        <f>AND(#REF!,"AAAAAH81PyY=")</f>
        <v>#REF!</v>
      </c>
      <c r="AN118" t="e">
        <f>AND(#REF!,"AAAAAH81Pyc=")</f>
        <v>#REF!</v>
      </c>
      <c r="AO118" t="e">
        <f>AND(#REF!,"AAAAAH81Pyg=")</f>
        <v>#REF!</v>
      </c>
      <c r="AP118" t="e">
        <f>AND(#REF!,"AAAAAH81Pyk=")</f>
        <v>#REF!</v>
      </c>
      <c r="AQ118" t="e">
        <f>AND(#REF!,"AAAAAH81Pyo=")</f>
        <v>#REF!</v>
      </c>
      <c r="AR118" t="e">
        <f>AND(#REF!,"AAAAAH81Pys=")</f>
        <v>#REF!</v>
      </c>
      <c r="AS118" t="e">
        <f>IF(#REF!,"AAAAAH81Pyw=",0)</f>
        <v>#REF!</v>
      </c>
      <c r="AT118" t="e">
        <f>AND(#REF!,"AAAAAH81Py0=")</f>
        <v>#REF!</v>
      </c>
      <c r="AU118" t="e">
        <f>AND(#REF!,"AAAAAH81Py4=")</f>
        <v>#REF!</v>
      </c>
      <c r="AV118" t="e">
        <f>AND(#REF!,"AAAAAH81Py8=")</f>
        <v>#REF!</v>
      </c>
      <c r="AW118" t="e">
        <f>AND(#REF!,"AAAAAH81PzA=")</f>
        <v>#REF!</v>
      </c>
      <c r="AX118" t="e">
        <f>AND(#REF!,"AAAAAH81PzE=")</f>
        <v>#REF!</v>
      </c>
      <c r="AY118" t="e">
        <f>AND(#REF!,"AAAAAH81PzI=")</f>
        <v>#REF!</v>
      </c>
      <c r="AZ118" t="e">
        <f>IF(#REF!,"AAAAAH81PzM=",0)</f>
        <v>#REF!</v>
      </c>
      <c r="BA118" t="e">
        <f>AND(#REF!,"AAAAAH81PzQ=")</f>
        <v>#REF!</v>
      </c>
      <c r="BB118" t="e">
        <f>AND(#REF!,"AAAAAH81PzU=")</f>
        <v>#REF!</v>
      </c>
      <c r="BC118" t="e">
        <f>AND(#REF!,"AAAAAH81PzY=")</f>
        <v>#REF!</v>
      </c>
      <c r="BD118" t="e">
        <f>AND(#REF!,"AAAAAH81Pzc=")</f>
        <v>#REF!</v>
      </c>
      <c r="BE118" t="e">
        <f>AND(#REF!,"AAAAAH81Pzg=")</f>
        <v>#REF!</v>
      </c>
      <c r="BF118" t="e">
        <f>AND(#REF!,"AAAAAH81Pzk=")</f>
        <v>#REF!</v>
      </c>
      <c r="BG118" t="e">
        <f>IF(#REF!,"AAAAAH81Pzo=",0)</f>
        <v>#REF!</v>
      </c>
      <c r="BH118" t="e">
        <f>AND(#REF!,"AAAAAH81Pzs=")</f>
        <v>#REF!</v>
      </c>
      <c r="BI118" t="e">
        <f>AND(#REF!,"AAAAAH81Pzw=")</f>
        <v>#REF!</v>
      </c>
      <c r="BJ118" t="e">
        <f>AND(#REF!,"AAAAAH81Pz0=")</f>
        <v>#REF!</v>
      </c>
      <c r="BK118" t="e">
        <f>AND(#REF!,"AAAAAH81Pz4=")</f>
        <v>#REF!</v>
      </c>
      <c r="BL118" t="e">
        <f>AND(#REF!,"AAAAAH81Pz8=")</f>
        <v>#REF!</v>
      </c>
      <c r="BM118" t="e">
        <f>AND(#REF!,"AAAAAH81P0A=")</f>
        <v>#REF!</v>
      </c>
      <c r="BN118" t="e">
        <f>IF(#REF!,"AAAAAH81P0E=",0)</f>
        <v>#REF!</v>
      </c>
      <c r="BO118" t="e">
        <f>AND(#REF!,"AAAAAH81P0I=")</f>
        <v>#REF!</v>
      </c>
      <c r="BP118" t="e">
        <f>AND(#REF!,"AAAAAH81P0M=")</f>
        <v>#REF!</v>
      </c>
      <c r="BQ118" t="e">
        <f>AND(#REF!,"AAAAAH81P0Q=")</f>
        <v>#REF!</v>
      </c>
      <c r="BR118" t="e">
        <f>AND(#REF!,"AAAAAH81P0U=")</f>
        <v>#REF!</v>
      </c>
      <c r="BS118" t="e">
        <f>AND(#REF!,"AAAAAH81P0Y=")</f>
        <v>#REF!</v>
      </c>
      <c r="BT118" t="e">
        <f>AND(#REF!,"AAAAAH81P0c=")</f>
        <v>#REF!</v>
      </c>
      <c r="BU118" t="e">
        <f>IF(#REF!,"AAAAAH81P0g=",0)</f>
        <v>#REF!</v>
      </c>
      <c r="BV118" t="e">
        <f>AND(#REF!,"AAAAAH81P0k=")</f>
        <v>#REF!</v>
      </c>
      <c r="BW118" t="e">
        <f>AND(#REF!,"AAAAAH81P0o=")</f>
        <v>#REF!</v>
      </c>
      <c r="BX118" t="e">
        <f>AND(#REF!,"AAAAAH81P0s=")</f>
        <v>#REF!</v>
      </c>
      <c r="BY118" t="e">
        <f>AND(#REF!,"AAAAAH81P0w=")</f>
        <v>#REF!</v>
      </c>
      <c r="BZ118" t="e">
        <f>AND(#REF!,"AAAAAH81P00=")</f>
        <v>#REF!</v>
      </c>
      <c r="CA118" t="e">
        <f>AND(#REF!,"AAAAAH81P04=")</f>
        <v>#REF!</v>
      </c>
      <c r="CB118" t="e">
        <f>IF(#REF!,"AAAAAH81P08=",0)</f>
        <v>#REF!</v>
      </c>
      <c r="CC118" t="e">
        <f>AND(#REF!,"AAAAAH81P1A=")</f>
        <v>#REF!</v>
      </c>
      <c r="CD118" t="e">
        <f>AND(#REF!,"AAAAAH81P1E=")</f>
        <v>#REF!</v>
      </c>
      <c r="CE118" t="e">
        <f>AND(#REF!,"AAAAAH81P1I=")</f>
        <v>#REF!</v>
      </c>
      <c r="CF118" t="e">
        <f>AND(#REF!,"AAAAAH81P1M=")</f>
        <v>#REF!</v>
      </c>
      <c r="CG118" t="e">
        <f>AND(#REF!,"AAAAAH81P1Q=")</f>
        <v>#REF!</v>
      </c>
      <c r="CH118" t="e">
        <f>AND(#REF!,"AAAAAH81P1U=")</f>
        <v>#REF!</v>
      </c>
      <c r="CI118" t="e">
        <f>IF(#REF!,"AAAAAH81P1Y=",0)</f>
        <v>#REF!</v>
      </c>
      <c r="CJ118" t="e">
        <f>AND(#REF!,"AAAAAH81P1c=")</f>
        <v>#REF!</v>
      </c>
      <c r="CK118" t="e">
        <f>AND(#REF!,"AAAAAH81P1g=")</f>
        <v>#REF!</v>
      </c>
      <c r="CL118" t="e">
        <f>AND(#REF!,"AAAAAH81P1k=")</f>
        <v>#REF!</v>
      </c>
      <c r="CM118" t="e">
        <f>AND(#REF!,"AAAAAH81P1o=")</f>
        <v>#REF!</v>
      </c>
      <c r="CN118" t="e">
        <f>AND(#REF!,"AAAAAH81P1s=")</f>
        <v>#REF!</v>
      </c>
      <c r="CO118" t="e">
        <f>AND(#REF!,"AAAAAH81P1w=")</f>
        <v>#REF!</v>
      </c>
      <c r="CP118" t="e">
        <f>IF(#REF!,"AAAAAH81P10=",0)</f>
        <v>#REF!</v>
      </c>
      <c r="CQ118" t="e">
        <f>AND(#REF!,"AAAAAH81P14=")</f>
        <v>#REF!</v>
      </c>
      <c r="CR118" t="e">
        <f>AND(#REF!,"AAAAAH81P18=")</f>
        <v>#REF!</v>
      </c>
      <c r="CS118" t="e">
        <f>AND(#REF!,"AAAAAH81P2A=")</f>
        <v>#REF!</v>
      </c>
      <c r="CT118" t="e">
        <f>AND(#REF!,"AAAAAH81P2E=")</f>
        <v>#REF!</v>
      </c>
      <c r="CU118" t="e">
        <f>AND(#REF!,"AAAAAH81P2I=")</f>
        <v>#REF!</v>
      </c>
      <c r="CV118" t="e">
        <f>AND(#REF!,"AAAAAH81P2M=")</f>
        <v>#REF!</v>
      </c>
      <c r="CW118" t="e">
        <f>IF(#REF!,"AAAAAH81P2Q=",0)</f>
        <v>#REF!</v>
      </c>
      <c r="CX118" t="e">
        <f>AND(#REF!,"AAAAAH81P2U=")</f>
        <v>#REF!</v>
      </c>
      <c r="CY118" t="e">
        <f>AND(#REF!,"AAAAAH81P2Y=")</f>
        <v>#REF!</v>
      </c>
      <c r="CZ118" t="e">
        <f>AND(#REF!,"AAAAAH81P2c=")</f>
        <v>#REF!</v>
      </c>
      <c r="DA118" t="e">
        <f>AND(#REF!,"AAAAAH81P2g=")</f>
        <v>#REF!</v>
      </c>
      <c r="DB118" t="e">
        <f>AND(#REF!,"AAAAAH81P2k=")</f>
        <v>#REF!</v>
      </c>
      <c r="DC118" t="e">
        <f>AND(#REF!,"AAAAAH81P2o=")</f>
        <v>#REF!</v>
      </c>
      <c r="DD118" t="e">
        <f>IF(#REF!,"AAAAAH81P2s=",0)</f>
        <v>#REF!</v>
      </c>
      <c r="DE118" t="e">
        <f>AND(#REF!,"AAAAAH81P2w=")</f>
        <v>#REF!</v>
      </c>
      <c r="DF118" t="e">
        <f>AND(#REF!,"AAAAAH81P20=")</f>
        <v>#REF!</v>
      </c>
      <c r="DG118" t="e">
        <f>AND(#REF!,"AAAAAH81P24=")</f>
        <v>#REF!</v>
      </c>
      <c r="DH118" t="e">
        <f>AND(#REF!,"AAAAAH81P28=")</f>
        <v>#REF!</v>
      </c>
      <c r="DI118" t="e">
        <f>AND(#REF!,"AAAAAH81P3A=")</f>
        <v>#REF!</v>
      </c>
      <c r="DJ118" t="e">
        <f>AND(#REF!,"AAAAAH81P3E=")</f>
        <v>#REF!</v>
      </c>
      <c r="DK118" t="e">
        <f>IF(#REF!,"AAAAAH81P3I=",0)</f>
        <v>#REF!</v>
      </c>
      <c r="DL118" t="e">
        <f>AND(#REF!,"AAAAAH81P3M=")</f>
        <v>#REF!</v>
      </c>
      <c r="DM118" t="e">
        <f>AND(#REF!,"AAAAAH81P3Q=")</f>
        <v>#REF!</v>
      </c>
      <c r="DN118" t="e">
        <f>AND(#REF!,"AAAAAH81P3U=")</f>
        <v>#REF!</v>
      </c>
      <c r="DO118" t="e">
        <f>AND(#REF!,"AAAAAH81P3Y=")</f>
        <v>#REF!</v>
      </c>
      <c r="DP118" t="e">
        <f>AND(#REF!,"AAAAAH81P3c=")</f>
        <v>#REF!</v>
      </c>
      <c r="DQ118" t="e">
        <f>AND(#REF!,"AAAAAH81P3g=")</f>
        <v>#REF!</v>
      </c>
      <c r="DR118" t="e">
        <f>IF(#REF!,"AAAAAH81P3k=",0)</f>
        <v>#REF!</v>
      </c>
      <c r="DS118" t="e">
        <f>AND(#REF!,"AAAAAH81P3o=")</f>
        <v>#REF!</v>
      </c>
      <c r="DT118" t="e">
        <f>AND(#REF!,"AAAAAH81P3s=")</f>
        <v>#REF!</v>
      </c>
      <c r="DU118" t="e">
        <f>AND(#REF!,"AAAAAH81P3w=")</f>
        <v>#REF!</v>
      </c>
      <c r="DV118" t="e">
        <f>AND(#REF!,"AAAAAH81P30=")</f>
        <v>#REF!</v>
      </c>
      <c r="DW118" t="e">
        <f>AND(#REF!,"AAAAAH81P34=")</f>
        <v>#REF!</v>
      </c>
      <c r="DX118" t="e">
        <f>AND(#REF!,"AAAAAH81P38=")</f>
        <v>#REF!</v>
      </c>
      <c r="DY118" t="e">
        <f>IF(#REF!,"AAAAAH81P4A=",0)</f>
        <v>#REF!</v>
      </c>
      <c r="DZ118" t="e">
        <f>AND(#REF!,"AAAAAH81P4E=")</f>
        <v>#REF!</v>
      </c>
      <c r="EA118" t="e">
        <f>AND(#REF!,"AAAAAH81P4I=")</f>
        <v>#REF!</v>
      </c>
      <c r="EB118" t="e">
        <f>AND(#REF!,"AAAAAH81P4M=")</f>
        <v>#REF!</v>
      </c>
      <c r="EC118" t="e">
        <f>AND(#REF!,"AAAAAH81P4Q=")</f>
        <v>#REF!</v>
      </c>
      <c r="ED118" t="e">
        <f>AND(#REF!,"AAAAAH81P4U=")</f>
        <v>#REF!</v>
      </c>
      <c r="EE118" t="e">
        <f>AND(#REF!,"AAAAAH81P4Y=")</f>
        <v>#REF!</v>
      </c>
      <c r="EF118" t="e">
        <f>IF(#REF!,"AAAAAH81P4c=",0)</f>
        <v>#REF!</v>
      </c>
      <c r="EG118" t="e">
        <f>AND(#REF!,"AAAAAH81P4g=")</f>
        <v>#REF!</v>
      </c>
      <c r="EH118" t="e">
        <f>AND(#REF!,"AAAAAH81P4k=")</f>
        <v>#REF!</v>
      </c>
      <c r="EI118" t="e">
        <f>AND(#REF!,"AAAAAH81P4o=")</f>
        <v>#REF!</v>
      </c>
      <c r="EJ118" t="e">
        <f>AND(#REF!,"AAAAAH81P4s=")</f>
        <v>#REF!</v>
      </c>
      <c r="EK118" t="e">
        <f>AND(#REF!,"AAAAAH81P4w=")</f>
        <v>#REF!</v>
      </c>
      <c r="EL118" t="e">
        <f>AND(#REF!,"AAAAAH81P40=")</f>
        <v>#REF!</v>
      </c>
      <c r="EM118" t="e">
        <f>IF(#REF!,"AAAAAH81P44=",0)</f>
        <v>#REF!</v>
      </c>
      <c r="EN118" t="e">
        <f>AND(#REF!,"AAAAAH81P48=")</f>
        <v>#REF!</v>
      </c>
      <c r="EO118" t="e">
        <f>AND(#REF!,"AAAAAH81P5A=")</f>
        <v>#REF!</v>
      </c>
      <c r="EP118" t="e">
        <f>AND(#REF!,"AAAAAH81P5E=")</f>
        <v>#REF!</v>
      </c>
      <c r="EQ118" t="e">
        <f>AND(#REF!,"AAAAAH81P5I=")</f>
        <v>#REF!</v>
      </c>
      <c r="ER118" t="e">
        <f>AND(#REF!,"AAAAAH81P5M=")</f>
        <v>#REF!</v>
      </c>
      <c r="ES118" t="e">
        <f>AND(#REF!,"AAAAAH81P5Q=")</f>
        <v>#REF!</v>
      </c>
      <c r="ET118" t="e">
        <f>IF(#REF!,"AAAAAH81P5U=",0)</f>
        <v>#REF!</v>
      </c>
      <c r="EU118" t="e">
        <f>AND(#REF!,"AAAAAH81P5Y=")</f>
        <v>#REF!</v>
      </c>
      <c r="EV118" t="e">
        <f>AND(#REF!,"AAAAAH81P5c=")</f>
        <v>#REF!</v>
      </c>
      <c r="EW118" t="e">
        <f>AND(#REF!,"AAAAAH81P5g=")</f>
        <v>#REF!</v>
      </c>
      <c r="EX118" t="e">
        <f>AND(#REF!,"AAAAAH81P5k=")</f>
        <v>#REF!</v>
      </c>
      <c r="EY118" t="e">
        <f>AND(#REF!,"AAAAAH81P5o=")</f>
        <v>#REF!</v>
      </c>
      <c r="EZ118" t="e">
        <f>AND(#REF!,"AAAAAH81P5s=")</f>
        <v>#REF!</v>
      </c>
      <c r="FA118" t="e">
        <f>IF(#REF!,"AAAAAH81P5w=",0)</f>
        <v>#REF!</v>
      </c>
      <c r="FB118" t="e">
        <f>AND(#REF!,"AAAAAH81P50=")</f>
        <v>#REF!</v>
      </c>
      <c r="FC118" t="e">
        <f>AND(#REF!,"AAAAAH81P54=")</f>
        <v>#REF!</v>
      </c>
      <c r="FD118" t="e">
        <f>AND(#REF!,"AAAAAH81P58=")</f>
        <v>#REF!</v>
      </c>
      <c r="FE118" t="e">
        <f>AND(#REF!,"AAAAAH81P6A=")</f>
        <v>#REF!</v>
      </c>
      <c r="FF118" t="e">
        <f>AND(#REF!,"AAAAAH81P6E=")</f>
        <v>#REF!</v>
      </c>
      <c r="FG118" t="e">
        <f>AND(#REF!,"AAAAAH81P6I=")</f>
        <v>#REF!</v>
      </c>
      <c r="FH118" t="e">
        <f>IF(#REF!,"AAAAAH81P6M=",0)</f>
        <v>#REF!</v>
      </c>
      <c r="FI118" t="e">
        <f>AND(#REF!,"AAAAAH81P6Q=")</f>
        <v>#REF!</v>
      </c>
      <c r="FJ118" t="e">
        <f>AND(#REF!,"AAAAAH81P6U=")</f>
        <v>#REF!</v>
      </c>
      <c r="FK118" t="e">
        <f>AND(#REF!,"AAAAAH81P6Y=")</f>
        <v>#REF!</v>
      </c>
      <c r="FL118" t="e">
        <f>AND(#REF!,"AAAAAH81P6c=")</f>
        <v>#REF!</v>
      </c>
      <c r="FM118" t="e">
        <f>AND(#REF!,"AAAAAH81P6g=")</f>
        <v>#REF!</v>
      </c>
      <c r="FN118" t="e">
        <f>AND(#REF!,"AAAAAH81P6k=")</f>
        <v>#REF!</v>
      </c>
      <c r="FO118" t="e">
        <f>IF(#REF!,"AAAAAH81P6o=",0)</f>
        <v>#REF!</v>
      </c>
      <c r="FP118" t="e">
        <f>AND(#REF!,"AAAAAH81P6s=")</f>
        <v>#REF!</v>
      </c>
      <c r="FQ118" t="e">
        <f>AND(#REF!,"AAAAAH81P6w=")</f>
        <v>#REF!</v>
      </c>
      <c r="FR118" t="e">
        <f>AND(#REF!,"AAAAAH81P60=")</f>
        <v>#REF!</v>
      </c>
      <c r="FS118" t="e">
        <f>AND(#REF!,"AAAAAH81P64=")</f>
        <v>#REF!</v>
      </c>
      <c r="FT118" t="e">
        <f>AND(#REF!,"AAAAAH81P68=")</f>
        <v>#REF!</v>
      </c>
      <c r="FU118" t="e">
        <f>AND(#REF!,"AAAAAH81P7A=")</f>
        <v>#REF!</v>
      </c>
      <c r="FV118" t="e">
        <f>IF(#REF!,"AAAAAH81P7E=",0)</f>
        <v>#REF!</v>
      </c>
      <c r="FW118" t="e">
        <f>AND(#REF!,"AAAAAH81P7I=")</f>
        <v>#REF!</v>
      </c>
      <c r="FX118" t="e">
        <f>AND(#REF!,"AAAAAH81P7M=")</f>
        <v>#REF!</v>
      </c>
      <c r="FY118" t="e">
        <f>AND(#REF!,"AAAAAH81P7Q=")</f>
        <v>#REF!</v>
      </c>
      <c r="FZ118" t="e">
        <f>AND(#REF!,"AAAAAH81P7U=")</f>
        <v>#REF!</v>
      </c>
      <c r="GA118" t="e">
        <f>AND(#REF!,"AAAAAH81P7Y=")</f>
        <v>#REF!</v>
      </c>
      <c r="GB118" t="e">
        <f>AND(#REF!,"AAAAAH81P7c=")</f>
        <v>#REF!</v>
      </c>
      <c r="GC118" t="e">
        <f>IF(#REF!,"AAAAAH81P7g=",0)</f>
        <v>#REF!</v>
      </c>
      <c r="GD118" t="e">
        <f>AND(#REF!,"AAAAAH81P7k=")</f>
        <v>#REF!</v>
      </c>
      <c r="GE118" t="e">
        <f>AND(#REF!,"AAAAAH81P7o=")</f>
        <v>#REF!</v>
      </c>
      <c r="GF118" t="e">
        <f>AND(#REF!,"AAAAAH81P7s=")</f>
        <v>#REF!</v>
      </c>
      <c r="GG118" t="e">
        <f>AND(#REF!,"AAAAAH81P7w=")</f>
        <v>#REF!</v>
      </c>
      <c r="GH118" t="e">
        <f>AND(#REF!,"AAAAAH81P70=")</f>
        <v>#REF!</v>
      </c>
      <c r="GI118" t="e">
        <f>AND(#REF!,"AAAAAH81P74=")</f>
        <v>#REF!</v>
      </c>
      <c r="GJ118" t="e">
        <f>IF(#REF!,"AAAAAH81P78=",0)</f>
        <v>#REF!</v>
      </c>
      <c r="GK118" t="e">
        <f>AND(#REF!,"AAAAAH81P8A=")</f>
        <v>#REF!</v>
      </c>
      <c r="GL118" t="e">
        <f>AND(#REF!,"AAAAAH81P8E=")</f>
        <v>#REF!</v>
      </c>
      <c r="GM118" t="e">
        <f>AND(#REF!,"AAAAAH81P8I=")</f>
        <v>#REF!</v>
      </c>
      <c r="GN118" t="e">
        <f>AND(#REF!,"AAAAAH81P8M=")</f>
        <v>#REF!</v>
      </c>
      <c r="GO118" t="e">
        <f>AND(#REF!,"AAAAAH81P8Q=")</f>
        <v>#REF!</v>
      </c>
      <c r="GP118" t="e">
        <f>AND(#REF!,"AAAAAH81P8U=")</f>
        <v>#REF!</v>
      </c>
      <c r="GQ118" t="e">
        <f>IF(#REF!,"AAAAAH81P8Y=",0)</f>
        <v>#REF!</v>
      </c>
      <c r="GR118" t="e">
        <f>AND(#REF!,"AAAAAH81P8c=")</f>
        <v>#REF!</v>
      </c>
      <c r="GS118" t="e">
        <f>AND(#REF!,"AAAAAH81P8g=")</f>
        <v>#REF!</v>
      </c>
      <c r="GT118" t="e">
        <f>AND(#REF!,"AAAAAH81P8k=")</f>
        <v>#REF!</v>
      </c>
      <c r="GU118" t="e">
        <f>AND(#REF!,"AAAAAH81P8o=")</f>
        <v>#REF!</v>
      </c>
      <c r="GV118" t="e">
        <f>AND(#REF!,"AAAAAH81P8s=")</f>
        <v>#REF!</v>
      </c>
      <c r="GW118" t="e">
        <f>AND(#REF!,"AAAAAH81P8w=")</f>
        <v>#REF!</v>
      </c>
      <c r="GX118" t="e">
        <f>IF(#REF!,"AAAAAH81P80=",0)</f>
        <v>#REF!</v>
      </c>
      <c r="GY118" t="e">
        <f>AND(#REF!,"AAAAAH81P84=")</f>
        <v>#REF!</v>
      </c>
      <c r="GZ118" t="e">
        <f>AND(#REF!,"AAAAAH81P88=")</f>
        <v>#REF!</v>
      </c>
      <c r="HA118" t="e">
        <f>AND(#REF!,"AAAAAH81P9A=")</f>
        <v>#REF!</v>
      </c>
      <c r="HB118" t="e">
        <f>AND(#REF!,"AAAAAH81P9E=")</f>
        <v>#REF!</v>
      </c>
      <c r="HC118" t="e">
        <f>AND(#REF!,"AAAAAH81P9I=")</f>
        <v>#REF!</v>
      </c>
      <c r="HD118" t="e">
        <f>AND(#REF!,"AAAAAH81P9M=")</f>
        <v>#REF!</v>
      </c>
      <c r="HE118" t="e">
        <f>IF(#REF!,"AAAAAH81P9Q=",0)</f>
        <v>#REF!</v>
      </c>
      <c r="HF118" t="e">
        <f>AND(#REF!,"AAAAAH81P9U=")</f>
        <v>#REF!</v>
      </c>
      <c r="HG118" t="e">
        <f>AND(#REF!,"AAAAAH81P9Y=")</f>
        <v>#REF!</v>
      </c>
      <c r="HH118" t="e">
        <f>AND(#REF!,"AAAAAH81P9c=")</f>
        <v>#REF!</v>
      </c>
      <c r="HI118" t="e">
        <f>AND(#REF!,"AAAAAH81P9g=")</f>
        <v>#REF!</v>
      </c>
      <c r="HJ118" t="e">
        <f>AND(#REF!,"AAAAAH81P9k=")</f>
        <v>#REF!</v>
      </c>
      <c r="HK118" t="e">
        <f>AND(#REF!,"AAAAAH81P9o=")</f>
        <v>#REF!</v>
      </c>
      <c r="HL118" t="e">
        <f>IF(#REF!,"AAAAAH81P9s=",0)</f>
        <v>#REF!</v>
      </c>
      <c r="HM118" t="e">
        <f>AND(#REF!,"AAAAAH81P9w=")</f>
        <v>#REF!</v>
      </c>
      <c r="HN118" t="e">
        <f>AND(#REF!,"AAAAAH81P90=")</f>
        <v>#REF!</v>
      </c>
      <c r="HO118" t="e">
        <f>AND(#REF!,"AAAAAH81P94=")</f>
        <v>#REF!</v>
      </c>
      <c r="HP118" t="e">
        <f>AND(#REF!,"AAAAAH81P98=")</f>
        <v>#REF!</v>
      </c>
      <c r="HQ118" t="e">
        <f>AND(#REF!,"AAAAAH81P+A=")</f>
        <v>#REF!</v>
      </c>
      <c r="HR118" t="e">
        <f>AND(#REF!,"AAAAAH81P+E=")</f>
        <v>#REF!</v>
      </c>
      <c r="HS118" t="e">
        <f>IF(#REF!,"AAAAAH81P+I=",0)</f>
        <v>#REF!</v>
      </c>
      <c r="HT118" t="e">
        <f>AND(#REF!,"AAAAAH81P+M=")</f>
        <v>#REF!</v>
      </c>
      <c r="HU118" t="e">
        <f>AND(#REF!,"AAAAAH81P+Q=")</f>
        <v>#REF!</v>
      </c>
      <c r="HV118" t="e">
        <f>AND(#REF!,"AAAAAH81P+U=")</f>
        <v>#REF!</v>
      </c>
      <c r="HW118" t="e">
        <f>AND(#REF!,"AAAAAH81P+Y=")</f>
        <v>#REF!</v>
      </c>
      <c r="HX118" t="e">
        <f>AND(#REF!,"AAAAAH81P+c=")</f>
        <v>#REF!</v>
      </c>
      <c r="HY118" t="e">
        <f>AND(#REF!,"AAAAAH81P+g=")</f>
        <v>#REF!</v>
      </c>
      <c r="HZ118" t="e">
        <f>IF(#REF!,"AAAAAH81P+k=",0)</f>
        <v>#REF!</v>
      </c>
      <c r="IA118" t="e">
        <f>AND(#REF!,"AAAAAH81P+o=")</f>
        <v>#REF!</v>
      </c>
      <c r="IB118" t="e">
        <f>AND(#REF!,"AAAAAH81P+s=")</f>
        <v>#REF!</v>
      </c>
      <c r="IC118" t="e">
        <f>AND(#REF!,"AAAAAH81P+w=")</f>
        <v>#REF!</v>
      </c>
      <c r="ID118" t="e">
        <f>AND(#REF!,"AAAAAH81P+0=")</f>
        <v>#REF!</v>
      </c>
      <c r="IE118" t="e">
        <f>AND(#REF!,"AAAAAH81P+4=")</f>
        <v>#REF!</v>
      </c>
      <c r="IF118" t="e">
        <f>AND(#REF!,"AAAAAH81P+8=")</f>
        <v>#REF!</v>
      </c>
      <c r="IG118" t="e">
        <f>IF(#REF!,"AAAAAH81P/A=",0)</f>
        <v>#REF!</v>
      </c>
      <c r="IH118" t="e">
        <f>AND(#REF!,"AAAAAH81P/E=")</f>
        <v>#REF!</v>
      </c>
      <c r="II118" t="e">
        <f>AND(#REF!,"AAAAAH81P/I=")</f>
        <v>#REF!</v>
      </c>
      <c r="IJ118" t="e">
        <f>AND(#REF!,"AAAAAH81P/M=")</f>
        <v>#REF!</v>
      </c>
      <c r="IK118" t="e">
        <f>AND(#REF!,"AAAAAH81P/Q=")</f>
        <v>#REF!</v>
      </c>
      <c r="IL118" t="e">
        <f>AND(#REF!,"AAAAAH81P/U=")</f>
        <v>#REF!</v>
      </c>
      <c r="IM118" t="e">
        <f>AND(#REF!,"AAAAAH81P/Y=")</f>
        <v>#REF!</v>
      </c>
      <c r="IN118" t="e">
        <f>IF(#REF!,"AAAAAH81P/c=",0)</f>
        <v>#REF!</v>
      </c>
      <c r="IO118" t="e">
        <f>AND(#REF!,"AAAAAH81P/g=")</f>
        <v>#REF!</v>
      </c>
      <c r="IP118" t="e">
        <f>AND(#REF!,"AAAAAH81P/k=")</f>
        <v>#REF!</v>
      </c>
      <c r="IQ118" t="e">
        <f>AND(#REF!,"AAAAAH81P/o=")</f>
        <v>#REF!</v>
      </c>
      <c r="IR118" t="e">
        <f>AND(#REF!,"AAAAAH81P/s=")</f>
        <v>#REF!</v>
      </c>
      <c r="IS118" t="e">
        <f>AND(#REF!,"AAAAAH81P/w=")</f>
        <v>#REF!</v>
      </c>
      <c r="IT118" t="e">
        <f>AND(#REF!,"AAAAAH81P/0=")</f>
        <v>#REF!</v>
      </c>
      <c r="IU118" t="e">
        <f>IF(#REF!,"AAAAAH81P/4=",0)</f>
        <v>#REF!</v>
      </c>
      <c r="IV118" t="e">
        <f>AND(#REF!,"AAAAAH81P/8=")</f>
        <v>#REF!</v>
      </c>
    </row>
    <row r="119" spans="1:256" x14ac:dyDescent="0.15">
      <c r="A119" t="e">
        <f>AND(#REF!,"AAAAAG93/wA=")</f>
        <v>#REF!</v>
      </c>
      <c r="B119" t="e">
        <f>AND(#REF!,"AAAAAG93/wE=")</f>
        <v>#REF!</v>
      </c>
      <c r="C119" t="e">
        <f>AND(#REF!,"AAAAAG93/wI=")</f>
        <v>#REF!</v>
      </c>
      <c r="D119" t="e">
        <f>AND(#REF!,"AAAAAG93/wM=")</f>
        <v>#REF!</v>
      </c>
      <c r="E119" t="e">
        <f>AND(#REF!,"AAAAAG93/wQ=")</f>
        <v>#REF!</v>
      </c>
      <c r="F119" t="e">
        <f>IF(#REF!,"AAAAAG93/wU=",0)</f>
        <v>#REF!</v>
      </c>
      <c r="G119" t="e">
        <f>AND(#REF!,"AAAAAG93/wY=")</f>
        <v>#REF!</v>
      </c>
      <c r="H119" t="e">
        <f>AND(#REF!,"AAAAAG93/wc=")</f>
        <v>#REF!</v>
      </c>
      <c r="I119" t="e">
        <f>AND(#REF!,"AAAAAG93/wg=")</f>
        <v>#REF!</v>
      </c>
      <c r="J119" t="e">
        <f>AND(#REF!,"AAAAAG93/wk=")</f>
        <v>#REF!</v>
      </c>
      <c r="K119" t="e">
        <f>AND(#REF!,"AAAAAG93/wo=")</f>
        <v>#REF!</v>
      </c>
      <c r="L119" t="e">
        <f>AND(#REF!,"AAAAAG93/ws=")</f>
        <v>#REF!</v>
      </c>
      <c r="M119" t="e">
        <f>IF(#REF!,"AAAAAG93/ww=",0)</f>
        <v>#REF!</v>
      </c>
      <c r="N119" t="e">
        <f>AND(#REF!,"AAAAAG93/w0=")</f>
        <v>#REF!</v>
      </c>
      <c r="O119" t="e">
        <f>AND(#REF!,"AAAAAG93/w4=")</f>
        <v>#REF!</v>
      </c>
      <c r="P119" t="e">
        <f>AND(#REF!,"AAAAAG93/w8=")</f>
        <v>#REF!</v>
      </c>
      <c r="Q119" t="e">
        <f>AND(#REF!,"AAAAAG93/xA=")</f>
        <v>#REF!</v>
      </c>
      <c r="R119" t="e">
        <f>AND(#REF!,"AAAAAG93/xE=")</f>
        <v>#REF!</v>
      </c>
      <c r="S119" t="e">
        <f>AND(#REF!,"AAAAAG93/xI=")</f>
        <v>#REF!</v>
      </c>
      <c r="T119" t="e">
        <f>IF(#REF!,"AAAAAG93/xM=",0)</f>
        <v>#REF!</v>
      </c>
      <c r="U119" t="e">
        <f>AND(#REF!,"AAAAAG93/xQ=")</f>
        <v>#REF!</v>
      </c>
      <c r="V119" t="e">
        <f>AND(#REF!,"AAAAAG93/xU=")</f>
        <v>#REF!</v>
      </c>
      <c r="W119" t="e">
        <f>AND(#REF!,"AAAAAG93/xY=")</f>
        <v>#REF!</v>
      </c>
      <c r="X119" t="e">
        <f>AND(#REF!,"AAAAAG93/xc=")</f>
        <v>#REF!</v>
      </c>
      <c r="Y119" t="e">
        <f>AND(#REF!,"AAAAAG93/xg=")</f>
        <v>#REF!</v>
      </c>
      <c r="Z119" t="e">
        <f>AND(#REF!,"AAAAAG93/xk=")</f>
        <v>#REF!</v>
      </c>
      <c r="AA119" t="e">
        <f>IF(#REF!,"AAAAAG93/xo=",0)</f>
        <v>#REF!</v>
      </c>
      <c r="AB119" t="e">
        <f>AND(#REF!,"AAAAAG93/xs=")</f>
        <v>#REF!</v>
      </c>
      <c r="AC119" t="e">
        <f>AND(#REF!,"AAAAAG93/xw=")</f>
        <v>#REF!</v>
      </c>
      <c r="AD119" t="e">
        <f>AND(#REF!,"AAAAAG93/x0=")</f>
        <v>#REF!</v>
      </c>
      <c r="AE119" t="e">
        <f>AND(#REF!,"AAAAAG93/x4=")</f>
        <v>#REF!</v>
      </c>
      <c r="AF119" t="e">
        <f>AND(#REF!,"AAAAAG93/x8=")</f>
        <v>#REF!</v>
      </c>
      <c r="AG119" t="e">
        <f>AND(#REF!,"AAAAAG93/yA=")</f>
        <v>#REF!</v>
      </c>
      <c r="AH119" t="e">
        <f>IF(#REF!,"AAAAAG93/yE=",0)</f>
        <v>#REF!</v>
      </c>
      <c r="AI119" t="e">
        <f>AND(#REF!,"AAAAAG93/yI=")</f>
        <v>#REF!</v>
      </c>
      <c r="AJ119" t="e">
        <f>AND(#REF!,"AAAAAG93/yM=")</f>
        <v>#REF!</v>
      </c>
      <c r="AK119" t="e">
        <f>AND(#REF!,"AAAAAG93/yQ=")</f>
        <v>#REF!</v>
      </c>
      <c r="AL119" t="e">
        <f>AND(#REF!,"AAAAAG93/yU=")</f>
        <v>#REF!</v>
      </c>
      <c r="AM119" t="e">
        <f>AND(#REF!,"AAAAAG93/yY=")</f>
        <v>#REF!</v>
      </c>
      <c r="AN119" t="e">
        <f>AND(#REF!,"AAAAAG93/yc=")</f>
        <v>#REF!</v>
      </c>
      <c r="AO119" t="e">
        <f>IF(#REF!,"AAAAAG93/yg=",0)</f>
        <v>#REF!</v>
      </c>
      <c r="AP119" t="e">
        <f>AND(#REF!,"AAAAAG93/yk=")</f>
        <v>#REF!</v>
      </c>
      <c r="AQ119" t="e">
        <f>AND(#REF!,"AAAAAG93/yo=")</f>
        <v>#REF!</v>
      </c>
      <c r="AR119" t="e">
        <f>AND(#REF!,"AAAAAG93/ys=")</f>
        <v>#REF!</v>
      </c>
      <c r="AS119" t="e">
        <f>AND(#REF!,"AAAAAG93/yw=")</f>
        <v>#REF!</v>
      </c>
      <c r="AT119" t="e">
        <f>AND(#REF!,"AAAAAG93/y0=")</f>
        <v>#REF!</v>
      </c>
      <c r="AU119" t="e">
        <f>AND(#REF!,"AAAAAG93/y4=")</f>
        <v>#REF!</v>
      </c>
      <c r="AV119" t="e">
        <f>IF(#REF!,"AAAAAG93/y8=",0)</f>
        <v>#REF!</v>
      </c>
      <c r="AW119" t="e">
        <f>AND(#REF!,"AAAAAG93/zA=")</f>
        <v>#REF!</v>
      </c>
      <c r="AX119" t="e">
        <f>AND(#REF!,"AAAAAG93/zE=")</f>
        <v>#REF!</v>
      </c>
      <c r="AY119" t="e">
        <f>AND(#REF!,"AAAAAG93/zI=")</f>
        <v>#REF!</v>
      </c>
      <c r="AZ119" t="e">
        <f>AND(#REF!,"AAAAAG93/zM=")</f>
        <v>#REF!</v>
      </c>
      <c r="BA119" t="e">
        <f>AND(#REF!,"AAAAAG93/zQ=")</f>
        <v>#REF!</v>
      </c>
      <c r="BB119" t="e">
        <f>AND(#REF!,"AAAAAG93/zU=")</f>
        <v>#REF!</v>
      </c>
      <c r="BC119" t="e">
        <f>IF(#REF!,"AAAAAG93/zY=",0)</f>
        <v>#REF!</v>
      </c>
      <c r="BD119" t="e">
        <f>AND(#REF!,"AAAAAG93/zc=")</f>
        <v>#REF!</v>
      </c>
      <c r="BE119" t="e">
        <f>AND(#REF!,"AAAAAG93/zg=")</f>
        <v>#REF!</v>
      </c>
      <c r="BF119" t="e">
        <f>AND(#REF!,"AAAAAG93/zk=")</f>
        <v>#REF!</v>
      </c>
      <c r="BG119" t="e">
        <f>AND(#REF!,"AAAAAG93/zo=")</f>
        <v>#REF!</v>
      </c>
      <c r="BH119" t="e">
        <f>AND(#REF!,"AAAAAG93/zs=")</f>
        <v>#REF!</v>
      </c>
      <c r="BI119" t="e">
        <f>AND(#REF!,"AAAAAG93/zw=")</f>
        <v>#REF!</v>
      </c>
      <c r="BJ119" t="e">
        <f>IF(#REF!,"AAAAAG93/z0=",0)</f>
        <v>#REF!</v>
      </c>
      <c r="BK119" t="e">
        <f>AND(#REF!,"AAAAAG93/z4=")</f>
        <v>#REF!</v>
      </c>
      <c r="BL119" t="e">
        <f>AND(#REF!,"AAAAAG93/z8=")</f>
        <v>#REF!</v>
      </c>
      <c r="BM119" t="e">
        <f>AND(#REF!,"AAAAAG93/0A=")</f>
        <v>#REF!</v>
      </c>
      <c r="BN119" t="e">
        <f>AND(#REF!,"AAAAAG93/0E=")</f>
        <v>#REF!</v>
      </c>
      <c r="BO119" t="e">
        <f>AND(#REF!,"AAAAAG93/0I=")</f>
        <v>#REF!</v>
      </c>
      <c r="BP119" t="e">
        <f>AND(#REF!,"AAAAAG93/0M=")</f>
        <v>#REF!</v>
      </c>
      <c r="BQ119" t="e">
        <f>IF(#REF!,"AAAAAG93/0Q=",0)</f>
        <v>#REF!</v>
      </c>
      <c r="BR119" t="e">
        <f>AND(#REF!,"AAAAAG93/0U=")</f>
        <v>#REF!</v>
      </c>
      <c r="BS119" t="e">
        <f>AND(#REF!,"AAAAAG93/0Y=")</f>
        <v>#REF!</v>
      </c>
      <c r="BT119" t="e">
        <f>AND(#REF!,"AAAAAG93/0c=")</f>
        <v>#REF!</v>
      </c>
      <c r="BU119" t="e">
        <f>AND(#REF!,"AAAAAG93/0g=")</f>
        <v>#REF!</v>
      </c>
      <c r="BV119" t="e">
        <f>AND(#REF!,"AAAAAG93/0k=")</f>
        <v>#REF!</v>
      </c>
      <c r="BW119" t="e">
        <f>AND(#REF!,"AAAAAG93/0o=")</f>
        <v>#REF!</v>
      </c>
      <c r="BX119" t="e">
        <f>IF(#REF!,"AAAAAG93/0s=",0)</f>
        <v>#REF!</v>
      </c>
      <c r="BY119" t="e">
        <f>AND(#REF!,"AAAAAG93/0w=")</f>
        <v>#REF!</v>
      </c>
      <c r="BZ119" t="e">
        <f>AND(#REF!,"AAAAAG93/00=")</f>
        <v>#REF!</v>
      </c>
      <c r="CA119" t="e">
        <f>AND(#REF!,"AAAAAG93/04=")</f>
        <v>#REF!</v>
      </c>
      <c r="CB119" t="e">
        <f>AND(#REF!,"AAAAAG93/08=")</f>
        <v>#REF!</v>
      </c>
      <c r="CC119" t="e">
        <f>AND(#REF!,"AAAAAG93/1A=")</f>
        <v>#REF!</v>
      </c>
      <c r="CD119" t="e">
        <f>AND(#REF!,"AAAAAG93/1E=")</f>
        <v>#REF!</v>
      </c>
      <c r="CE119" t="e">
        <f>IF(#REF!,"AAAAAG93/1I=",0)</f>
        <v>#REF!</v>
      </c>
      <c r="CF119" t="e">
        <f>AND(#REF!,"AAAAAG93/1M=")</f>
        <v>#REF!</v>
      </c>
      <c r="CG119" t="e">
        <f>AND(#REF!,"AAAAAG93/1Q=")</f>
        <v>#REF!</v>
      </c>
      <c r="CH119" t="e">
        <f>AND(#REF!,"AAAAAG93/1U=")</f>
        <v>#REF!</v>
      </c>
      <c r="CI119" t="e">
        <f>AND(#REF!,"AAAAAG93/1Y=")</f>
        <v>#REF!</v>
      </c>
      <c r="CJ119" t="e">
        <f>AND(#REF!,"AAAAAG93/1c=")</f>
        <v>#REF!</v>
      </c>
      <c r="CK119" t="e">
        <f>AND(#REF!,"AAAAAG93/1g=")</f>
        <v>#REF!</v>
      </c>
      <c r="CL119" t="e">
        <f>IF(#REF!,"AAAAAG93/1k=",0)</f>
        <v>#REF!</v>
      </c>
      <c r="CM119" t="e">
        <f>AND(#REF!,"AAAAAG93/1o=")</f>
        <v>#REF!</v>
      </c>
      <c r="CN119" t="e">
        <f>AND(#REF!,"AAAAAG93/1s=")</f>
        <v>#REF!</v>
      </c>
      <c r="CO119" t="e">
        <f>AND(#REF!,"AAAAAG93/1w=")</f>
        <v>#REF!</v>
      </c>
      <c r="CP119" t="e">
        <f>AND(#REF!,"AAAAAG93/10=")</f>
        <v>#REF!</v>
      </c>
      <c r="CQ119" t="e">
        <f>AND(#REF!,"AAAAAG93/14=")</f>
        <v>#REF!</v>
      </c>
      <c r="CR119" t="e">
        <f>AND(#REF!,"AAAAAG93/18=")</f>
        <v>#REF!</v>
      </c>
      <c r="CS119" t="e">
        <f>IF(#REF!,"AAAAAG93/2A=",0)</f>
        <v>#REF!</v>
      </c>
      <c r="CT119" t="e">
        <f>AND(#REF!,"AAAAAG93/2E=")</f>
        <v>#REF!</v>
      </c>
      <c r="CU119" t="e">
        <f>AND(#REF!,"AAAAAG93/2I=")</f>
        <v>#REF!</v>
      </c>
      <c r="CV119" t="e">
        <f>AND(#REF!,"AAAAAG93/2M=")</f>
        <v>#REF!</v>
      </c>
      <c r="CW119" t="e">
        <f>AND(#REF!,"AAAAAG93/2Q=")</f>
        <v>#REF!</v>
      </c>
      <c r="CX119" t="e">
        <f>AND(#REF!,"AAAAAG93/2U=")</f>
        <v>#REF!</v>
      </c>
      <c r="CY119" t="e">
        <f>AND(#REF!,"AAAAAG93/2Y=")</f>
        <v>#REF!</v>
      </c>
      <c r="CZ119" t="e">
        <f>IF(#REF!,"AAAAAG93/2c=",0)</f>
        <v>#REF!</v>
      </c>
      <c r="DA119" t="e">
        <f>AND(#REF!,"AAAAAG93/2g=")</f>
        <v>#REF!</v>
      </c>
      <c r="DB119" t="e">
        <f>AND(#REF!,"AAAAAG93/2k=")</f>
        <v>#REF!</v>
      </c>
      <c r="DC119" t="e">
        <f>AND(#REF!,"AAAAAG93/2o=")</f>
        <v>#REF!</v>
      </c>
      <c r="DD119" t="e">
        <f>AND(#REF!,"AAAAAG93/2s=")</f>
        <v>#REF!</v>
      </c>
      <c r="DE119" t="e">
        <f>AND(#REF!,"AAAAAG93/2w=")</f>
        <v>#REF!</v>
      </c>
      <c r="DF119" t="e">
        <f>AND(#REF!,"AAAAAG93/20=")</f>
        <v>#REF!</v>
      </c>
      <c r="DG119" t="e">
        <f>IF(#REF!,"AAAAAG93/24=",0)</f>
        <v>#REF!</v>
      </c>
      <c r="DH119" t="e">
        <f>AND(#REF!,"AAAAAG93/28=")</f>
        <v>#REF!</v>
      </c>
      <c r="DI119" t="e">
        <f>AND(#REF!,"AAAAAG93/3A=")</f>
        <v>#REF!</v>
      </c>
      <c r="DJ119" t="e">
        <f>AND(#REF!,"AAAAAG93/3E=")</f>
        <v>#REF!</v>
      </c>
      <c r="DK119" t="e">
        <f>AND(#REF!,"AAAAAG93/3I=")</f>
        <v>#REF!</v>
      </c>
      <c r="DL119" t="e">
        <f>AND(#REF!,"AAAAAG93/3M=")</f>
        <v>#REF!</v>
      </c>
      <c r="DM119" t="e">
        <f>AND(#REF!,"AAAAAG93/3Q=")</f>
        <v>#REF!</v>
      </c>
      <c r="DN119" t="e">
        <f>IF(#REF!,"AAAAAG93/3U=",0)</f>
        <v>#REF!</v>
      </c>
      <c r="DO119" t="e">
        <f>AND(#REF!,"AAAAAG93/3Y=")</f>
        <v>#REF!</v>
      </c>
      <c r="DP119" t="e">
        <f>AND(#REF!,"AAAAAG93/3c=")</f>
        <v>#REF!</v>
      </c>
      <c r="DQ119" t="e">
        <f>AND(#REF!,"AAAAAG93/3g=")</f>
        <v>#REF!</v>
      </c>
      <c r="DR119" t="e">
        <f>AND(#REF!,"AAAAAG93/3k=")</f>
        <v>#REF!</v>
      </c>
      <c r="DS119" t="e">
        <f>AND(#REF!,"AAAAAG93/3o=")</f>
        <v>#REF!</v>
      </c>
      <c r="DT119" t="e">
        <f>AND(#REF!,"AAAAAG93/3s=")</f>
        <v>#REF!</v>
      </c>
      <c r="DU119" t="e">
        <f>IF(#REF!,"AAAAAG93/3w=",0)</f>
        <v>#REF!</v>
      </c>
      <c r="DV119" t="e">
        <f>AND(#REF!,"AAAAAG93/30=")</f>
        <v>#REF!</v>
      </c>
      <c r="DW119" t="e">
        <f>AND(#REF!,"AAAAAG93/34=")</f>
        <v>#REF!</v>
      </c>
      <c r="DX119" t="e">
        <f>AND(#REF!,"AAAAAG93/38=")</f>
        <v>#REF!</v>
      </c>
      <c r="DY119" t="e">
        <f>AND(#REF!,"AAAAAG93/4A=")</f>
        <v>#REF!</v>
      </c>
      <c r="DZ119" t="e">
        <f>AND(#REF!,"AAAAAG93/4E=")</f>
        <v>#REF!</v>
      </c>
      <c r="EA119" t="e">
        <f>AND(#REF!,"AAAAAG93/4I=")</f>
        <v>#REF!</v>
      </c>
      <c r="EB119" t="e">
        <f>IF(#REF!,"AAAAAG93/4M=",0)</f>
        <v>#REF!</v>
      </c>
      <c r="EC119" t="e">
        <f>AND(#REF!,"AAAAAG93/4Q=")</f>
        <v>#REF!</v>
      </c>
      <c r="ED119" t="e">
        <f>AND(#REF!,"AAAAAG93/4U=")</f>
        <v>#REF!</v>
      </c>
      <c r="EE119" t="e">
        <f>AND(#REF!,"AAAAAG93/4Y=")</f>
        <v>#REF!</v>
      </c>
      <c r="EF119" t="e">
        <f>AND(#REF!,"AAAAAG93/4c=")</f>
        <v>#REF!</v>
      </c>
      <c r="EG119" t="e">
        <f>AND(#REF!,"AAAAAG93/4g=")</f>
        <v>#REF!</v>
      </c>
      <c r="EH119" t="e">
        <f>AND(#REF!,"AAAAAG93/4k=")</f>
        <v>#REF!</v>
      </c>
      <c r="EI119" t="e">
        <f>IF(#REF!,"AAAAAG93/4o=",0)</f>
        <v>#REF!</v>
      </c>
      <c r="EJ119" t="e">
        <f>AND(#REF!,"AAAAAG93/4s=")</f>
        <v>#REF!</v>
      </c>
      <c r="EK119" t="e">
        <f>AND(#REF!,"AAAAAG93/4w=")</f>
        <v>#REF!</v>
      </c>
      <c r="EL119" t="e">
        <f>AND(#REF!,"AAAAAG93/40=")</f>
        <v>#REF!</v>
      </c>
      <c r="EM119" t="e">
        <f>AND(#REF!,"AAAAAG93/44=")</f>
        <v>#REF!</v>
      </c>
      <c r="EN119" t="e">
        <f>AND(#REF!,"AAAAAG93/48=")</f>
        <v>#REF!</v>
      </c>
      <c r="EO119" t="e">
        <f>AND(#REF!,"AAAAAG93/5A=")</f>
        <v>#REF!</v>
      </c>
      <c r="EP119" t="e">
        <f>IF(#REF!,"AAAAAG93/5E=",0)</f>
        <v>#REF!</v>
      </c>
      <c r="EQ119" t="e">
        <f>AND(#REF!,"AAAAAG93/5I=")</f>
        <v>#REF!</v>
      </c>
      <c r="ER119" t="e">
        <f>AND(#REF!,"AAAAAG93/5M=")</f>
        <v>#REF!</v>
      </c>
      <c r="ES119" t="e">
        <f>AND(#REF!,"AAAAAG93/5Q=")</f>
        <v>#REF!</v>
      </c>
      <c r="ET119" t="e">
        <f>AND(#REF!,"AAAAAG93/5U=")</f>
        <v>#REF!</v>
      </c>
      <c r="EU119" t="e">
        <f>AND(#REF!,"AAAAAG93/5Y=")</f>
        <v>#REF!</v>
      </c>
      <c r="EV119" t="e">
        <f>AND(#REF!,"AAAAAG93/5c=")</f>
        <v>#REF!</v>
      </c>
      <c r="EW119" t="e">
        <f>IF(#REF!,"AAAAAG93/5g=",0)</f>
        <v>#REF!</v>
      </c>
      <c r="EX119" t="e">
        <f>AND(#REF!,"AAAAAG93/5k=")</f>
        <v>#REF!</v>
      </c>
      <c r="EY119" t="e">
        <f>AND(#REF!,"AAAAAG93/5o=")</f>
        <v>#REF!</v>
      </c>
      <c r="EZ119" t="e">
        <f>AND(#REF!,"AAAAAG93/5s=")</f>
        <v>#REF!</v>
      </c>
      <c r="FA119" t="e">
        <f>AND(#REF!,"AAAAAG93/5w=")</f>
        <v>#REF!</v>
      </c>
      <c r="FB119" t="e">
        <f>AND(#REF!,"AAAAAG93/50=")</f>
        <v>#REF!</v>
      </c>
      <c r="FC119" t="e">
        <f>AND(#REF!,"AAAAAG93/54=")</f>
        <v>#REF!</v>
      </c>
      <c r="FD119" t="e">
        <f>IF(#REF!,"AAAAAG93/58=",0)</f>
        <v>#REF!</v>
      </c>
      <c r="FE119" t="e">
        <f>AND(#REF!,"AAAAAG93/6A=")</f>
        <v>#REF!</v>
      </c>
      <c r="FF119" t="e">
        <f>AND(#REF!,"AAAAAG93/6E=")</f>
        <v>#REF!</v>
      </c>
      <c r="FG119" t="e">
        <f>AND(#REF!,"AAAAAG93/6I=")</f>
        <v>#REF!</v>
      </c>
      <c r="FH119" t="e">
        <f>AND(#REF!,"AAAAAG93/6M=")</f>
        <v>#REF!</v>
      </c>
      <c r="FI119" t="e">
        <f>AND(#REF!,"AAAAAG93/6Q=")</f>
        <v>#REF!</v>
      </c>
      <c r="FJ119" t="e">
        <f>AND(#REF!,"AAAAAG93/6U=")</f>
        <v>#REF!</v>
      </c>
      <c r="FK119" t="e">
        <f>IF(#REF!,"AAAAAG93/6Y=",0)</f>
        <v>#REF!</v>
      </c>
      <c r="FL119" t="e">
        <f>AND(#REF!,"AAAAAG93/6c=")</f>
        <v>#REF!</v>
      </c>
      <c r="FM119" t="e">
        <f>AND(#REF!,"AAAAAG93/6g=")</f>
        <v>#REF!</v>
      </c>
      <c r="FN119" t="e">
        <f>AND(#REF!,"AAAAAG93/6k=")</f>
        <v>#REF!</v>
      </c>
      <c r="FO119" t="e">
        <f>AND(#REF!,"AAAAAG93/6o=")</f>
        <v>#REF!</v>
      </c>
      <c r="FP119" t="e">
        <f>AND(#REF!,"AAAAAG93/6s=")</f>
        <v>#REF!</v>
      </c>
      <c r="FQ119" t="e">
        <f>AND(#REF!,"AAAAAG93/6w=")</f>
        <v>#REF!</v>
      </c>
      <c r="FR119" t="e">
        <f>IF(#REF!,"AAAAAG93/60=",0)</f>
        <v>#REF!</v>
      </c>
      <c r="FS119" t="e">
        <f>AND(#REF!,"AAAAAG93/64=")</f>
        <v>#REF!</v>
      </c>
      <c r="FT119" t="e">
        <f>AND(#REF!,"AAAAAG93/68=")</f>
        <v>#REF!</v>
      </c>
      <c r="FU119" t="e">
        <f>AND(#REF!,"AAAAAG93/7A=")</f>
        <v>#REF!</v>
      </c>
      <c r="FV119" t="e">
        <f>AND(#REF!,"AAAAAG93/7E=")</f>
        <v>#REF!</v>
      </c>
      <c r="FW119" t="e">
        <f>AND(#REF!,"AAAAAG93/7I=")</f>
        <v>#REF!</v>
      </c>
      <c r="FX119" t="e">
        <f>AND(#REF!,"AAAAAG93/7M=")</f>
        <v>#REF!</v>
      </c>
      <c r="FY119" t="e">
        <f>IF(#REF!,"AAAAAG93/7Q=",0)</f>
        <v>#REF!</v>
      </c>
      <c r="FZ119" t="e">
        <f>AND(#REF!,"AAAAAG93/7U=")</f>
        <v>#REF!</v>
      </c>
      <c r="GA119" t="e">
        <f>AND(#REF!,"AAAAAG93/7Y=")</f>
        <v>#REF!</v>
      </c>
      <c r="GB119" t="e">
        <f>AND(#REF!,"AAAAAG93/7c=")</f>
        <v>#REF!</v>
      </c>
      <c r="GC119" t="e">
        <f>AND(#REF!,"AAAAAG93/7g=")</f>
        <v>#REF!</v>
      </c>
      <c r="GD119" t="e">
        <f>AND(#REF!,"AAAAAG93/7k=")</f>
        <v>#REF!</v>
      </c>
      <c r="GE119" t="e">
        <f>AND(#REF!,"AAAAAG93/7o=")</f>
        <v>#REF!</v>
      </c>
      <c r="GF119" t="e">
        <f>IF(#REF!,"AAAAAG93/7s=",0)</f>
        <v>#REF!</v>
      </c>
      <c r="GG119" t="e">
        <f>AND(#REF!,"AAAAAG93/7w=")</f>
        <v>#REF!</v>
      </c>
      <c r="GH119" t="e">
        <f>AND(#REF!,"AAAAAG93/70=")</f>
        <v>#REF!</v>
      </c>
      <c r="GI119" t="e">
        <f>AND(#REF!,"AAAAAG93/74=")</f>
        <v>#REF!</v>
      </c>
      <c r="GJ119" t="e">
        <f>AND(#REF!,"AAAAAG93/78=")</f>
        <v>#REF!</v>
      </c>
      <c r="GK119" t="e">
        <f>AND(#REF!,"AAAAAG93/8A=")</f>
        <v>#REF!</v>
      </c>
      <c r="GL119" t="e">
        <f>AND(#REF!,"AAAAAG93/8E=")</f>
        <v>#REF!</v>
      </c>
      <c r="GM119" t="e">
        <f>IF(#REF!,"AAAAAG93/8I=",0)</f>
        <v>#REF!</v>
      </c>
      <c r="GN119" t="e">
        <f>AND(#REF!,"AAAAAG93/8M=")</f>
        <v>#REF!</v>
      </c>
      <c r="GO119" t="e">
        <f>AND(#REF!,"AAAAAG93/8Q=")</f>
        <v>#REF!</v>
      </c>
      <c r="GP119" t="e">
        <f>AND(#REF!,"AAAAAG93/8U=")</f>
        <v>#REF!</v>
      </c>
      <c r="GQ119" t="e">
        <f>AND(#REF!,"AAAAAG93/8Y=")</f>
        <v>#REF!</v>
      </c>
      <c r="GR119" t="e">
        <f>AND(#REF!,"AAAAAG93/8c=")</f>
        <v>#REF!</v>
      </c>
      <c r="GS119" t="e">
        <f>AND(#REF!,"AAAAAG93/8g=")</f>
        <v>#REF!</v>
      </c>
      <c r="GT119" t="e">
        <f>IF(#REF!,"AAAAAG93/8k=",0)</f>
        <v>#REF!</v>
      </c>
      <c r="GU119" t="e">
        <f>AND(#REF!,"AAAAAG93/8o=")</f>
        <v>#REF!</v>
      </c>
      <c r="GV119" t="e">
        <f>AND(#REF!,"AAAAAG93/8s=")</f>
        <v>#REF!</v>
      </c>
      <c r="GW119" t="e">
        <f>AND(#REF!,"AAAAAG93/8w=")</f>
        <v>#REF!</v>
      </c>
      <c r="GX119" t="e">
        <f>AND(#REF!,"AAAAAG93/80=")</f>
        <v>#REF!</v>
      </c>
      <c r="GY119" t="e">
        <f>AND(#REF!,"AAAAAG93/84=")</f>
        <v>#REF!</v>
      </c>
      <c r="GZ119" t="e">
        <f>AND(#REF!,"AAAAAG93/88=")</f>
        <v>#REF!</v>
      </c>
      <c r="HA119" t="e">
        <f>IF(#REF!,"AAAAAG93/9A=",0)</f>
        <v>#REF!</v>
      </c>
      <c r="HB119" t="e">
        <f>AND(#REF!,"AAAAAG93/9E=")</f>
        <v>#REF!</v>
      </c>
      <c r="HC119" t="e">
        <f>AND(#REF!,"AAAAAG93/9I=")</f>
        <v>#REF!</v>
      </c>
      <c r="HD119" t="e">
        <f>AND(#REF!,"AAAAAG93/9M=")</f>
        <v>#REF!</v>
      </c>
      <c r="HE119" t="e">
        <f>AND(#REF!,"AAAAAG93/9Q=")</f>
        <v>#REF!</v>
      </c>
      <c r="HF119" t="e">
        <f>AND(#REF!,"AAAAAG93/9U=")</f>
        <v>#REF!</v>
      </c>
      <c r="HG119" t="e">
        <f>AND(#REF!,"AAAAAG93/9Y=")</f>
        <v>#REF!</v>
      </c>
      <c r="HH119" t="e">
        <f>IF(#REF!,"AAAAAG93/9c=",0)</f>
        <v>#REF!</v>
      </c>
      <c r="HI119" t="e">
        <f>AND(#REF!,"AAAAAG93/9g=")</f>
        <v>#REF!</v>
      </c>
      <c r="HJ119" t="e">
        <f>AND(#REF!,"AAAAAG93/9k=")</f>
        <v>#REF!</v>
      </c>
      <c r="HK119" t="e">
        <f>AND(#REF!,"AAAAAG93/9o=")</f>
        <v>#REF!</v>
      </c>
      <c r="HL119" t="e">
        <f>AND(#REF!,"AAAAAG93/9s=")</f>
        <v>#REF!</v>
      </c>
      <c r="HM119" t="e">
        <f>AND(#REF!,"AAAAAG93/9w=")</f>
        <v>#REF!</v>
      </c>
      <c r="HN119" t="e">
        <f>AND(#REF!,"AAAAAG93/90=")</f>
        <v>#REF!</v>
      </c>
      <c r="HO119" t="e">
        <f>IF(#REF!,"AAAAAG93/94=",0)</f>
        <v>#REF!</v>
      </c>
      <c r="HP119" t="e">
        <f>AND(#REF!,"AAAAAG93/98=")</f>
        <v>#REF!</v>
      </c>
      <c r="HQ119" t="e">
        <f>AND(#REF!,"AAAAAG93/+A=")</f>
        <v>#REF!</v>
      </c>
      <c r="HR119" t="e">
        <f>AND(#REF!,"AAAAAG93/+E=")</f>
        <v>#REF!</v>
      </c>
      <c r="HS119" t="e">
        <f>AND(#REF!,"AAAAAG93/+I=")</f>
        <v>#REF!</v>
      </c>
      <c r="HT119" t="e">
        <f>AND(#REF!,"AAAAAG93/+M=")</f>
        <v>#REF!</v>
      </c>
      <c r="HU119" t="e">
        <f>AND(#REF!,"AAAAAG93/+Q=")</f>
        <v>#REF!</v>
      </c>
      <c r="HV119" t="e">
        <f>IF(#REF!,"AAAAAG93/+U=",0)</f>
        <v>#REF!</v>
      </c>
      <c r="HW119" t="e">
        <f>AND(#REF!,"AAAAAG93/+Y=")</f>
        <v>#REF!</v>
      </c>
      <c r="HX119" t="e">
        <f>AND(#REF!,"AAAAAG93/+c=")</f>
        <v>#REF!</v>
      </c>
      <c r="HY119" t="e">
        <f>AND(#REF!,"AAAAAG93/+g=")</f>
        <v>#REF!</v>
      </c>
      <c r="HZ119" t="e">
        <f>AND(#REF!,"AAAAAG93/+k=")</f>
        <v>#REF!</v>
      </c>
      <c r="IA119" t="e">
        <f>AND(#REF!,"AAAAAG93/+o=")</f>
        <v>#REF!</v>
      </c>
      <c r="IB119" t="e">
        <f>AND(#REF!,"AAAAAG93/+s=")</f>
        <v>#REF!</v>
      </c>
      <c r="IC119" t="e">
        <f>IF(#REF!,"AAAAAG93/+w=",0)</f>
        <v>#REF!</v>
      </c>
      <c r="ID119" t="e">
        <f>AND(#REF!,"AAAAAG93/+0=")</f>
        <v>#REF!</v>
      </c>
      <c r="IE119" t="e">
        <f>AND(#REF!,"AAAAAG93/+4=")</f>
        <v>#REF!</v>
      </c>
      <c r="IF119" t="e">
        <f>AND(#REF!,"AAAAAG93/+8=")</f>
        <v>#REF!</v>
      </c>
      <c r="IG119" t="e">
        <f>AND(#REF!,"AAAAAG93//A=")</f>
        <v>#REF!</v>
      </c>
      <c r="IH119" t="e">
        <f>AND(#REF!,"AAAAAG93//E=")</f>
        <v>#REF!</v>
      </c>
      <c r="II119" t="e">
        <f>AND(#REF!,"AAAAAG93//I=")</f>
        <v>#REF!</v>
      </c>
      <c r="IJ119" t="e">
        <f>IF(#REF!,"AAAAAG93//M=",0)</f>
        <v>#REF!</v>
      </c>
      <c r="IK119" t="e">
        <f>AND(#REF!,"AAAAAG93//Q=")</f>
        <v>#REF!</v>
      </c>
      <c r="IL119" t="e">
        <f>AND(#REF!,"AAAAAG93//U=")</f>
        <v>#REF!</v>
      </c>
      <c r="IM119" t="e">
        <f>AND(#REF!,"AAAAAG93//Y=")</f>
        <v>#REF!</v>
      </c>
      <c r="IN119" t="e">
        <f>AND(#REF!,"AAAAAG93//c=")</f>
        <v>#REF!</v>
      </c>
      <c r="IO119" t="e">
        <f>AND(#REF!,"AAAAAG93//g=")</f>
        <v>#REF!</v>
      </c>
      <c r="IP119" t="e">
        <f>AND(#REF!,"AAAAAG93//k=")</f>
        <v>#REF!</v>
      </c>
      <c r="IQ119" t="e">
        <f>IF(#REF!,"AAAAAG93//o=",0)</f>
        <v>#REF!</v>
      </c>
      <c r="IR119" t="e">
        <f>AND(#REF!,"AAAAAG93//s=")</f>
        <v>#REF!</v>
      </c>
      <c r="IS119" t="e">
        <f>AND(#REF!,"AAAAAG93//w=")</f>
        <v>#REF!</v>
      </c>
      <c r="IT119" t="e">
        <f>AND(#REF!,"AAAAAG93//0=")</f>
        <v>#REF!</v>
      </c>
      <c r="IU119" t="e">
        <f>AND(#REF!,"AAAAAG93//4=")</f>
        <v>#REF!</v>
      </c>
      <c r="IV119" t="e">
        <f>AND(#REF!,"AAAAAG93//8=")</f>
        <v>#REF!</v>
      </c>
    </row>
    <row r="120" spans="1:256" x14ac:dyDescent="0.15">
      <c r="A120" t="e">
        <f>AND(#REF!,"AAAAAAm36wA=")</f>
        <v>#REF!</v>
      </c>
      <c r="B120" t="e">
        <f>IF(#REF!,"AAAAAAm36wE=",0)</f>
        <v>#REF!</v>
      </c>
      <c r="C120" t="e">
        <f>AND(#REF!,"AAAAAAm36wI=")</f>
        <v>#REF!</v>
      </c>
      <c r="D120" t="e">
        <f>AND(#REF!,"AAAAAAm36wM=")</f>
        <v>#REF!</v>
      </c>
      <c r="E120" t="e">
        <f>AND(#REF!,"AAAAAAm36wQ=")</f>
        <v>#REF!</v>
      </c>
      <c r="F120" t="e">
        <f>AND(#REF!,"AAAAAAm36wU=")</f>
        <v>#REF!</v>
      </c>
      <c r="G120" t="e">
        <f>AND(#REF!,"AAAAAAm36wY=")</f>
        <v>#REF!</v>
      </c>
      <c r="H120" t="e">
        <f>AND(#REF!,"AAAAAAm36wc=")</f>
        <v>#REF!</v>
      </c>
      <c r="I120" t="e">
        <f>IF(#REF!,"AAAAAAm36wg=",0)</f>
        <v>#REF!</v>
      </c>
      <c r="J120" t="e">
        <f>AND(#REF!,"AAAAAAm36wk=")</f>
        <v>#REF!</v>
      </c>
      <c r="K120" t="e">
        <f>AND(#REF!,"AAAAAAm36wo=")</f>
        <v>#REF!</v>
      </c>
      <c r="L120" t="e">
        <f>AND(#REF!,"AAAAAAm36ws=")</f>
        <v>#REF!</v>
      </c>
      <c r="M120" t="e">
        <f>AND(#REF!,"AAAAAAm36ww=")</f>
        <v>#REF!</v>
      </c>
      <c r="N120" t="e">
        <f>AND(#REF!,"AAAAAAm36w0=")</f>
        <v>#REF!</v>
      </c>
      <c r="O120" t="e">
        <f>AND(#REF!,"AAAAAAm36w4=")</f>
        <v>#REF!</v>
      </c>
      <c r="P120" t="e">
        <f>IF(#REF!,"AAAAAAm36w8=",0)</f>
        <v>#REF!</v>
      </c>
      <c r="Q120" t="e">
        <f>AND(#REF!,"AAAAAAm36xA=")</f>
        <v>#REF!</v>
      </c>
      <c r="R120" t="e">
        <f>AND(#REF!,"AAAAAAm36xE=")</f>
        <v>#REF!</v>
      </c>
      <c r="S120" t="e">
        <f>AND(#REF!,"AAAAAAm36xI=")</f>
        <v>#REF!</v>
      </c>
      <c r="T120" t="e">
        <f>AND(#REF!,"AAAAAAm36xM=")</f>
        <v>#REF!</v>
      </c>
      <c r="U120" t="e">
        <f>AND(#REF!,"AAAAAAm36xQ=")</f>
        <v>#REF!</v>
      </c>
      <c r="V120" t="e">
        <f>AND(#REF!,"AAAAAAm36xU=")</f>
        <v>#REF!</v>
      </c>
      <c r="W120" t="e">
        <f>IF(#REF!,"AAAAAAm36xY=",0)</f>
        <v>#REF!</v>
      </c>
      <c r="X120" t="e">
        <f>AND(#REF!,"AAAAAAm36xc=")</f>
        <v>#REF!</v>
      </c>
      <c r="Y120" t="e">
        <f>AND(#REF!,"AAAAAAm36xg=")</f>
        <v>#REF!</v>
      </c>
      <c r="Z120" t="e">
        <f>AND(#REF!,"AAAAAAm36xk=")</f>
        <v>#REF!</v>
      </c>
      <c r="AA120" t="e">
        <f>AND(#REF!,"AAAAAAm36xo=")</f>
        <v>#REF!</v>
      </c>
      <c r="AB120" t="e">
        <f>AND(#REF!,"AAAAAAm36xs=")</f>
        <v>#REF!</v>
      </c>
      <c r="AC120" t="e">
        <f>AND(#REF!,"AAAAAAm36xw=")</f>
        <v>#REF!</v>
      </c>
      <c r="AD120" t="e">
        <f>IF(#REF!,"AAAAAAm36x0=",0)</f>
        <v>#REF!</v>
      </c>
      <c r="AE120" t="e">
        <f>AND(#REF!,"AAAAAAm36x4=")</f>
        <v>#REF!</v>
      </c>
      <c r="AF120" t="e">
        <f>AND(#REF!,"AAAAAAm36x8=")</f>
        <v>#REF!</v>
      </c>
      <c r="AG120" t="e">
        <f>AND(#REF!,"AAAAAAm36yA=")</f>
        <v>#REF!</v>
      </c>
      <c r="AH120" t="e">
        <f>AND(#REF!,"AAAAAAm36yE=")</f>
        <v>#REF!</v>
      </c>
      <c r="AI120" t="e">
        <f>AND(#REF!,"AAAAAAm36yI=")</f>
        <v>#REF!</v>
      </c>
      <c r="AJ120" t="e">
        <f>AND(#REF!,"AAAAAAm36yM=")</f>
        <v>#REF!</v>
      </c>
      <c r="AK120" t="e">
        <f>IF(#REF!,"AAAAAAm36yQ=",0)</f>
        <v>#REF!</v>
      </c>
      <c r="AL120" t="e">
        <f>AND(#REF!,"AAAAAAm36yU=")</f>
        <v>#REF!</v>
      </c>
      <c r="AM120" t="e">
        <f>AND(#REF!,"AAAAAAm36yY=")</f>
        <v>#REF!</v>
      </c>
      <c r="AN120" t="e">
        <f>AND(#REF!,"AAAAAAm36yc=")</f>
        <v>#REF!</v>
      </c>
      <c r="AO120" t="e">
        <f>AND(#REF!,"AAAAAAm36yg=")</f>
        <v>#REF!</v>
      </c>
      <c r="AP120" t="e">
        <f>AND(#REF!,"AAAAAAm36yk=")</f>
        <v>#REF!</v>
      </c>
      <c r="AQ120" t="e">
        <f>AND(#REF!,"AAAAAAm36yo=")</f>
        <v>#REF!</v>
      </c>
      <c r="AR120" t="e">
        <f>IF(#REF!,"AAAAAAm36ys=",0)</f>
        <v>#REF!</v>
      </c>
      <c r="AS120" t="e">
        <f>AND(#REF!,"AAAAAAm36yw=")</f>
        <v>#REF!</v>
      </c>
      <c r="AT120" t="e">
        <f>AND(#REF!,"AAAAAAm36y0=")</f>
        <v>#REF!</v>
      </c>
      <c r="AU120" t="e">
        <f>AND(#REF!,"AAAAAAm36y4=")</f>
        <v>#REF!</v>
      </c>
      <c r="AV120" t="e">
        <f>AND(#REF!,"AAAAAAm36y8=")</f>
        <v>#REF!</v>
      </c>
      <c r="AW120" t="e">
        <f>AND(#REF!,"AAAAAAm36zA=")</f>
        <v>#REF!</v>
      </c>
      <c r="AX120" t="e">
        <f>AND(#REF!,"AAAAAAm36zE=")</f>
        <v>#REF!</v>
      </c>
      <c r="AY120" t="e">
        <f>IF(#REF!,"AAAAAAm36zI=",0)</f>
        <v>#REF!</v>
      </c>
      <c r="AZ120" t="e">
        <f>AND(#REF!,"AAAAAAm36zM=")</f>
        <v>#REF!</v>
      </c>
      <c r="BA120" t="e">
        <f>AND(#REF!,"AAAAAAm36zQ=")</f>
        <v>#REF!</v>
      </c>
      <c r="BB120" t="e">
        <f>AND(#REF!,"AAAAAAm36zU=")</f>
        <v>#REF!</v>
      </c>
      <c r="BC120" t="e">
        <f>AND(#REF!,"AAAAAAm36zY=")</f>
        <v>#REF!</v>
      </c>
      <c r="BD120" t="e">
        <f>AND(#REF!,"AAAAAAm36zc=")</f>
        <v>#REF!</v>
      </c>
      <c r="BE120" t="e">
        <f>AND(#REF!,"AAAAAAm36zg=")</f>
        <v>#REF!</v>
      </c>
      <c r="BF120" t="e">
        <f>IF(#REF!,"AAAAAAm36zk=",0)</f>
        <v>#REF!</v>
      </c>
      <c r="BG120" t="e">
        <f>AND(#REF!,"AAAAAAm36zo=")</f>
        <v>#REF!</v>
      </c>
      <c r="BH120" t="e">
        <f>AND(#REF!,"AAAAAAm36zs=")</f>
        <v>#REF!</v>
      </c>
      <c r="BI120" t="e">
        <f>AND(#REF!,"AAAAAAm36zw=")</f>
        <v>#REF!</v>
      </c>
      <c r="BJ120" t="e">
        <f>AND(#REF!,"AAAAAAm36z0=")</f>
        <v>#REF!</v>
      </c>
      <c r="BK120" t="e">
        <f>AND(#REF!,"AAAAAAm36z4=")</f>
        <v>#REF!</v>
      </c>
      <c r="BL120" t="e">
        <f>AND(#REF!,"AAAAAAm36z8=")</f>
        <v>#REF!</v>
      </c>
      <c r="BM120" t="e">
        <f>IF(#REF!,"AAAAAAm360A=",0)</f>
        <v>#REF!</v>
      </c>
      <c r="BN120" t="e">
        <f>AND(#REF!,"AAAAAAm360E=")</f>
        <v>#REF!</v>
      </c>
      <c r="BO120" t="e">
        <f>AND(#REF!,"AAAAAAm360I=")</f>
        <v>#REF!</v>
      </c>
      <c r="BP120" t="e">
        <f>AND(#REF!,"AAAAAAm360M=")</f>
        <v>#REF!</v>
      </c>
      <c r="BQ120" t="e">
        <f>AND(#REF!,"AAAAAAm360Q=")</f>
        <v>#REF!</v>
      </c>
      <c r="BR120" t="e">
        <f>AND(#REF!,"AAAAAAm360U=")</f>
        <v>#REF!</v>
      </c>
      <c r="BS120" t="e">
        <f>AND(#REF!,"AAAAAAm360Y=")</f>
        <v>#REF!</v>
      </c>
      <c r="BT120" t="e">
        <f>IF(#REF!,"AAAAAAm360c=",0)</f>
        <v>#REF!</v>
      </c>
      <c r="BU120" t="e">
        <f>AND(#REF!,"AAAAAAm360g=")</f>
        <v>#REF!</v>
      </c>
      <c r="BV120" t="e">
        <f>AND(#REF!,"AAAAAAm360k=")</f>
        <v>#REF!</v>
      </c>
      <c r="BW120" t="e">
        <f>AND(#REF!,"AAAAAAm360o=")</f>
        <v>#REF!</v>
      </c>
      <c r="BX120" t="e">
        <f>AND(#REF!,"AAAAAAm360s=")</f>
        <v>#REF!</v>
      </c>
      <c r="BY120" t="e">
        <f>AND(#REF!,"AAAAAAm360w=")</f>
        <v>#REF!</v>
      </c>
      <c r="BZ120" t="e">
        <f>AND(#REF!,"AAAAAAm3600=")</f>
        <v>#REF!</v>
      </c>
      <c r="CA120" t="e">
        <f>IF(#REF!,"AAAAAAm3604=",0)</f>
        <v>#REF!</v>
      </c>
      <c r="CB120" t="e">
        <f>AND(#REF!,"AAAAAAm3608=")</f>
        <v>#REF!</v>
      </c>
      <c r="CC120" t="e">
        <f>AND(#REF!,"AAAAAAm361A=")</f>
        <v>#REF!</v>
      </c>
      <c r="CD120" t="e">
        <f>AND(#REF!,"AAAAAAm361E=")</f>
        <v>#REF!</v>
      </c>
      <c r="CE120" t="e">
        <f>AND(#REF!,"AAAAAAm361I=")</f>
        <v>#REF!</v>
      </c>
      <c r="CF120" t="e">
        <f>AND(#REF!,"AAAAAAm361M=")</f>
        <v>#REF!</v>
      </c>
      <c r="CG120" t="e">
        <f>AND(#REF!,"AAAAAAm361Q=")</f>
        <v>#REF!</v>
      </c>
      <c r="CH120" t="e">
        <f>IF(#REF!,"AAAAAAm361U=",0)</f>
        <v>#REF!</v>
      </c>
      <c r="CI120" t="e">
        <f>AND(#REF!,"AAAAAAm361Y=")</f>
        <v>#REF!</v>
      </c>
      <c r="CJ120" t="e">
        <f>AND(#REF!,"AAAAAAm361c=")</f>
        <v>#REF!</v>
      </c>
      <c r="CK120" t="e">
        <f>AND(#REF!,"AAAAAAm361g=")</f>
        <v>#REF!</v>
      </c>
      <c r="CL120" t="e">
        <f>AND(#REF!,"AAAAAAm361k=")</f>
        <v>#REF!</v>
      </c>
      <c r="CM120" t="e">
        <f>AND(#REF!,"AAAAAAm361o=")</f>
        <v>#REF!</v>
      </c>
      <c r="CN120" t="e">
        <f>AND(#REF!,"AAAAAAm361s=")</f>
        <v>#REF!</v>
      </c>
      <c r="CO120" t="e">
        <f>IF(#REF!,"AAAAAAm361w=",0)</f>
        <v>#REF!</v>
      </c>
      <c r="CP120" t="e">
        <f>AND(#REF!,"AAAAAAm3610=")</f>
        <v>#REF!</v>
      </c>
      <c r="CQ120" t="e">
        <f>AND(#REF!,"AAAAAAm3614=")</f>
        <v>#REF!</v>
      </c>
      <c r="CR120" t="e">
        <f>AND(#REF!,"AAAAAAm3618=")</f>
        <v>#REF!</v>
      </c>
      <c r="CS120" t="e">
        <f>AND(#REF!,"AAAAAAm362A=")</f>
        <v>#REF!</v>
      </c>
      <c r="CT120" t="e">
        <f>AND(#REF!,"AAAAAAm362E=")</f>
        <v>#REF!</v>
      </c>
      <c r="CU120" t="e">
        <f>AND(#REF!,"AAAAAAm362I=")</f>
        <v>#REF!</v>
      </c>
      <c r="CV120" t="e">
        <f>IF(#REF!,"AAAAAAm362M=",0)</f>
        <v>#REF!</v>
      </c>
      <c r="CW120" t="e">
        <f>AND(#REF!,"AAAAAAm362Q=")</f>
        <v>#REF!</v>
      </c>
      <c r="CX120" t="e">
        <f>AND(#REF!,"AAAAAAm362U=")</f>
        <v>#REF!</v>
      </c>
      <c r="CY120" t="e">
        <f>AND(#REF!,"AAAAAAm362Y=")</f>
        <v>#REF!</v>
      </c>
      <c r="CZ120" t="e">
        <f>AND(#REF!,"AAAAAAm362c=")</f>
        <v>#REF!</v>
      </c>
      <c r="DA120" t="e">
        <f>AND(#REF!,"AAAAAAm362g=")</f>
        <v>#REF!</v>
      </c>
      <c r="DB120" t="e">
        <f>AND(#REF!,"AAAAAAm362k=")</f>
        <v>#REF!</v>
      </c>
      <c r="DC120" t="e">
        <f>IF(#REF!,"AAAAAAm362o=",0)</f>
        <v>#REF!</v>
      </c>
      <c r="DD120" t="e">
        <f>AND(#REF!,"AAAAAAm362s=")</f>
        <v>#REF!</v>
      </c>
      <c r="DE120" t="e">
        <f>AND(#REF!,"AAAAAAm362w=")</f>
        <v>#REF!</v>
      </c>
      <c r="DF120" t="e">
        <f>AND(#REF!,"AAAAAAm3620=")</f>
        <v>#REF!</v>
      </c>
      <c r="DG120" t="e">
        <f>AND(#REF!,"AAAAAAm3624=")</f>
        <v>#REF!</v>
      </c>
      <c r="DH120" t="e">
        <f>AND(#REF!,"AAAAAAm3628=")</f>
        <v>#REF!</v>
      </c>
      <c r="DI120" t="e">
        <f>AND(#REF!,"AAAAAAm363A=")</f>
        <v>#REF!</v>
      </c>
      <c r="DJ120" t="e">
        <f>IF(#REF!,"AAAAAAm363E=",0)</f>
        <v>#REF!</v>
      </c>
      <c r="DK120" t="e">
        <f>AND(#REF!,"AAAAAAm363I=")</f>
        <v>#REF!</v>
      </c>
      <c r="DL120" t="e">
        <f>AND(#REF!,"AAAAAAm363M=")</f>
        <v>#REF!</v>
      </c>
      <c r="DM120" t="e">
        <f>AND(#REF!,"AAAAAAm363Q=")</f>
        <v>#REF!</v>
      </c>
      <c r="DN120" t="e">
        <f>AND(#REF!,"AAAAAAm363U=")</f>
        <v>#REF!</v>
      </c>
      <c r="DO120" t="e">
        <f>AND(#REF!,"AAAAAAm363Y=")</f>
        <v>#REF!</v>
      </c>
      <c r="DP120" t="e">
        <f>AND(#REF!,"AAAAAAm363c=")</f>
        <v>#REF!</v>
      </c>
      <c r="DQ120" t="e">
        <f>IF(#REF!,"AAAAAAm363g=",0)</f>
        <v>#REF!</v>
      </c>
      <c r="DR120" t="e">
        <f>AND(#REF!,"AAAAAAm363k=")</f>
        <v>#REF!</v>
      </c>
      <c r="DS120" t="e">
        <f>AND(#REF!,"AAAAAAm363o=")</f>
        <v>#REF!</v>
      </c>
      <c r="DT120" t="e">
        <f>AND(#REF!,"AAAAAAm363s=")</f>
        <v>#REF!</v>
      </c>
      <c r="DU120" t="e">
        <f>AND(#REF!,"AAAAAAm363w=")</f>
        <v>#REF!</v>
      </c>
      <c r="DV120" t="e">
        <f>AND(#REF!,"AAAAAAm3630=")</f>
        <v>#REF!</v>
      </c>
      <c r="DW120" t="e">
        <f>AND(#REF!,"AAAAAAm3634=")</f>
        <v>#REF!</v>
      </c>
      <c r="DX120" t="e">
        <f>IF(#REF!,"AAAAAAm3638=",0)</f>
        <v>#REF!</v>
      </c>
      <c r="DY120" t="e">
        <f>AND(#REF!,"AAAAAAm364A=")</f>
        <v>#REF!</v>
      </c>
      <c r="DZ120" t="e">
        <f>AND(#REF!,"AAAAAAm364E=")</f>
        <v>#REF!</v>
      </c>
      <c r="EA120" t="e">
        <f>AND(#REF!,"AAAAAAm364I=")</f>
        <v>#REF!</v>
      </c>
      <c r="EB120" t="e">
        <f>AND(#REF!,"AAAAAAm364M=")</f>
        <v>#REF!</v>
      </c>
      <c r="EC120" t="e">
        <f>AND(#REF!,"AAAAAAm364Q=")</f>
        <v>#REF!</v>
      </c>
      <c r="ED120" t="e">
        <f>AND(#REF!,"AAAAAAm364U=")</f>
        <v>#REF!</v>
      </c>
      <c r="EE120" t="e">
        <f>IF(#REF!,"AAAAAAm364Y=",0)</f>
        <v>#REF!</v>
      </c>
      <c r="EF120" t="e">
        <f>AND(#REF!,"AAAAAAm364c=")</f>
        <v>#REF!</v>
      </c>
      <c r="EG120" t="e">
        <f>AND(#REF!,"AAAAAAm364g=")</f>
        <v>#REF!</v>
      </c>
      <c r="EH120" t="e">
        <f>AND(#REF!,"AAAAAAm364k=")</f>
        <v>#REF!</v>
      </c>
      <c r="EI120" t="e">
        <f>AND(#REF!,"AAAAAAm364o=")</f>
        <v>#REF!</v>
      </c>
      <c r="EJ120" t="e">
        <f>AND(#REF!,"AAAAAAm364s=")</f>
        <v>#REF!</v>
      </c>
      <c r="EK120" t="e">
        <f>AND(#REF!,"AAAAAAm364w=")</f>
        <v>#REF!</v>
      </c>
      <c r="EL120" t="e">
        <f>IF(#REF!,"AAAAAAm3640=",0)</f>
        <v>#REF!</v>
      </c>
      <c r="EM120" t="e">
        <f>AND(#REF!,"AAAAAAm3644=")</f>
        <v>#REF!</v>
      </c>
      <c r="EN120" t="e">
        <f>AND(#REF!,"AAAAAAm3648=")</f>
        <v>#REF!</v>
      </c>
      <c r="EO120" t="e">
        <f>AND(#REF!,"AAAAAAm365A=")</f>
        <v>#REF!</v>
      </c>
      <c r="EP120" t="e">
        <f>AND(#REF!,"AAAAAAm365E=")</f>
        <v>#REF!</v>
      </c>
      <c r="EQ120" t="e">
        <f>AND(#REF!,"AAAAAAm365I=")</f>
        <v>#REF!</v>
      </c>
      <c r="ER120" t="e">
        <f>AND(#REF!,"AAAAAAm365M=")</f>
        <v>#REF!</v>
      </c>
      <c r="ES120" t="e">
        <f>IF(#REF!,"AAAAAAm365Q=",0)</f>
        <v>#REF!</v>
      </c>
      <c r="ET120" t="e">
        <f>AND(#REF!,"AAAAAAm365U=")</f>
        <v>#REF!</v>
      </c>
      <c r="EU120" t="e">
        <f>AND(#REF!,"AAAAAAm365Y=")</f>
        <v>#REF!</v>
      </c>
      <c r="EV120" t="e">
        <f>AND(#REF!,"AAAAAAm365c=")</f>
        <v>#REF!</v>
      </c>
      <c r="EW120" t="e">
        <f>AND(#REF!,"AAAAAAm365g=")</f>
        <v>#REF!</v>
      </c>
      <c r="EX120" t="e">
        <f>AND(#REF!,"AAAAAAm365k=")</f>
        <v>#REF!</v>
      </c>
      <c r="EY120" t="e">
        <f>AND(#REF!,"AAAAAAm365o=")</f>
        <v>#REF!</v>
      </c>
      <c r="EZ120" t="e">
        <f>IF(#REF!,"AAAAAAm365s=",0)</f>
        <v>#REF!</v>
      </c>
      <c r="FA120" t="e">
        <f>AND(#REF!,"AAAAAAm365w=")</f>
        <v>#REF!</v>
      </c>
      <c r="FB120" t="e">
        <f>AND(#REF!,"AAAAAAm3650=")</f>
        <v>#REF!</v>
      </c>
      <c r="FC120" t="e">
        <f>AND(#REF!,"AAAAAAm3654=")</f>
        <v>#REF!</v>
      </c>
      <c r="FD120" t="e">
        <f>AND(#REF!,"AAAAAAm3658=")</f>
        <v>#REF!</v>
      </c>
      <c r="FE120" t="e">
        <f>AND(#REF!,"AAAAAAm366A=")</f>
        <v>#REF!</v>
      </c>
      <c r="FF120" t="e">
        <f>AND(#REF!,"AAAAAAm366E=")</f>
        <v>#REF!</v>
      </c>
      <c r="FG120" t="e">
        <f>IF(#REF!,"AAAAAAm366I=",0)</f>
        <v>#REF!</v>
      </c>
      <c r="FH120" t="e">
        <f>AND(#REF!,"AAAAAAm366M=")</f>
        <v>#REF!</v>
      </c>
      <c r="FI120" t="e">
        <f>AND(#REF!,"AAAAAAm366Q=")</f>
        <v>#REF!</v>
      </c>
      <c r="FJ120" t="e">
        <f>AND(#REF!,"AAAAAAm366U=")</f>
        <v>#REF!</v>
      </c>
      <c r="FK120" t="e">
        <f>AND(#REF!,"AAAAAAm366Y=")</f>
        <v>#REF!</v>
      </c>
      <c r="FL120" t="e">
        <f>AND(#REF!,"AAAAAAm366c=")</f>
        <v>#REF!</v>
      </c>
      <c r="FM120" t="e">
        <f>AND(#REF!,"AAAAAAm366g=")</f>
        <v>#REF!</v>
      </c>
      <c r="FN120" t="e">
        <f>IF(#REF!,"AAAAAAm366k=",0)</f>
        <v>#REF!</v>
      </c>
      <c r="FO120" t="e">
        <f>AND(#REF!,"AAAAAAm366o=")</f>
        <v>#REF!</v>
      </c>
      <c r="FP120" t="e">
        <f>AND(#REF!,"AAAAAAm366s=")</f>
        <v>#REF!</v>
      </c>
      <c r="FQ120" t="e">
        <f>AND(#REF!,"AAAAAAm366w=")</f>
        <v>#REF!</v>
      </c>
      <c r="FR120" t="e">
        <f>AND(#REF!,"AAAAAAm3660=")</f>
        <v>#REF!</v>
      </c>
      <c r="FS120" t="e">
        <f>AND(#REF!,"AAAAAAm3664=")</f>
        <v>#REF!</v>
      </c>
      <c r="FT120" t="e">
        <f>AND(#REF!,"AAAAAAm3668=")</f>
        <v>#REF!</v>
      </c>
      <c r="FU120" t="e">
        <f>IF(#REF!,"AAAAAAm367A=",0)</f>
        <v>#REF!</v>
      </c>
      <c r="FV120" t="e">
        <f>AND(#REF!,"AAAAAAm367E=")</f>
        <v>#REF!</v>
      </c>
      <c r="FW120" t="e">
        <f>AND(#REF!,"AAAAAAm367I=")</f>
        <v>#REF!</v>
      </c>
      <c r="FX120" t="e">
        <f>AND(#REF!,"AAAAAAm367M=")</f>
        <v>#REF!</v>
      </c>
      <c r="FY120" t="e">
        <f>AND(#REF!,"AAAAAAm367Q=")</f>
        <v>#REF!</v>
      </c>
      <c r="FZ120" t="e">
        <f>AND(#REF!,"AAAAAAm367U=")</f>
        <v>#REF!</v>
      </c>
      <c r="GA120" t="e">
        <f>AND(#REF!,"AAAAAAm367Y=")</f>
        <v>#REF!</v>
      </c>
      <c r="GB120" t="e">
        <f>IF(#REF!,"AAAAAAm367c=",0)</f>
        <v>#REF!</v>
      </c>
      <c r="GC120" t="e">
        <f>AND(#REF!,"AAAAAAm367g=")</f>
        <v>#REF!</v>
      </c>
      <c r="GD120" t="e">
        <f>AND(#REF!,"AAAAAAm367k=")</f>
        <v>#REF!</v>
      </c>
      <c r="GE120" t="e">
        <f>AND(#REF!,"AAAAAAm367o=")</f>
        <v>#REF!</v>
      </c>
      <c r="GF120" t="e">
        <f>AND(#REF!,"AAAAAAm367s=")</f>
        <v>#REF!</v>
      </c>
      <c r="GG120" t="e">
        <f>AND(#REF!,"AAAAAAm367w=")</f>
        <v>#REF!</v>
      </c>
      <c r="GH120" t="e">
        <f>AND(#REF!,"AAAAAAm3670=")</f>
        <v>#REF!</v>
      </c>
      <c r="GI120" t="e">
        <f>IF(#REF!,"AAAAAAm3674=",0)</f>
        <v>#REF!</v>
      </c>
      <c r="GJ120" t="e">
        <f>AND(#REF!,"AAAAAAm3678=")</f>
        <v>#REF!</v>
      </c>
      <c r="GK120" t="e">
        <f>AND(#REF!,"AAAAAAm368A=")</f>
        <v>#REF!</v>
      </c>
      <c r="GL120" t="e">
        <f>AND(#REF!,"AAAAAAm368E=")</f>
        <v>#REF!</v>
      </c>
      <c r="GM120" t="e">
        <f>AND(#REF!,"AAAAAAm368I=")</f>
        <v>#REF!</v>
      </c>
      <c r="GN120" t="e">
        <f>AND(#REF!,"AAAAAAm368M=")</f>
        <v>#REF!</v>
      </c>
      <c r="GO120" t="e">
        <f>AND(#REF!,"AAAAAAm368Q=")</f>
        <v>#REF!</v>
      </c>
      <c r="GP120" t="e">
        <f>IF(#REF!,"AAAAAAm368U=",0)</f>
        <v>#REF!</v>
      </c>
      <c r="GQ120" t="e">
        <f>AND(#REF!,"AAAAAAm368Y=")</f>
        <v>#REF!</v>
      </c>
      <c r="GR120" t="e">
        <f>AND(#REF!,"AAAAAAm368c=")</f>
        <v>#REF!</v>
      </c>
      <c r="GS120" t="e">
        <f>AND(#REF!,"AAAAAAm368g=")</f>
        <v>#REF!</v>
      </c>
      <c r="GT120" t="e">
        <f>AND(#REF!,"AAAAAAm368k=")</f>
        <v>#REF!</v>
      </c>
      <c r="GU120" t="e">
        <f>AND(#REF!,"AAAAAAm368o=")</f>
        <v>#REF!</v>
      </c>
      <c r="GV120" t="e">
        <f>AND(#REF!,"AAAAAAm368s=")</f>
        <v>#REF!</v>
      </c>
      <c r="GW120" t="e">
        <f>IF(#REF!,"AAAAAAm368w=",0)</f>
        <v>#REF!</v>
      </c>
      <c r="GX120" t="e">
        <f>AND(#REF!,"AAAAAAm3680=")</f>
        <v>#REF!</v>
      </c>
      <c r="GY120" t="e">
        <f>AND(#REF!,"AAAAAAm3684=")</f>
        <v>#REF!</v>
      </c>
      <c r="GZ120" t="e">
        <f>AND(#REF!,"AAAAAAm3688=")</f>
        <v>#REF!</v>
      </c>
      <c r="HA120" t="e">
        <f>AND(#REF!,"AAAAAAm369A=")</f>
        <v>#REF!</v>
      </c>
      <c r="HB120" t="e">
        <f>AND(#REF!,"AAAAAAm369E=")</f>
        <v>#REF!</v>
      </c>
      <c r="HC120" t="e">
        <f>AND(#REF!,"AAAAAAm369I=")</f>
        <v>#REF!</v>
      </c>
      <c r="HD120" t="e">
        <f>IF(#REF!,"AAAAAAm369M=",0)</f>
        <v>#REF!</v>
      </c>
      <c r="HE120" t="e">
        <f>AND(#REF!,"AAAAAAm369Q=")</f>
        <v>#REF!</v>
      </c>
      <c r="HF120" t="e">
        <f>AND(#REF!,"AAAAAAm369U=")</f>
        <v>#REF!</v>
      </c>
      <c r="HG120" t="e">
        <f>AND(#REF!,"AAAAAAm369Y=")</f>
        <v>#REF!</v>
      </c>
      <c r="HH120" t="e">
        <f>AND(#REF!,"AAAAAAm369c=")</f>
        <v>#REF!</v>
      </c>
      <c r="HI120" t="e">
        <f>AND(#REF!,"AAAAAAm369g=")</f>
        <v>#REF!</v>
      </c>
      <c r="HJ120" t="e">
        <f>AND(#REF!,"AAAAAAm369k=")</f>
        <v>#REF!</v>
      </c>
      <c r="HK120" t="e">
        <f>IF(#REF!,"AAAAAAm369o=",0)</f>
        <v>#REF!</v>
      </c>
      <c r="HL120" t="e">
        <f>AND(#REF!,"AAAAAAm369s=")</f>
        <v>#REF!</v>
      </c>
      <c r="HM120" t="e">
        <f>AND(#REF!,"AAAAAAm369w=")</f>
        <v>#REF!</v>
      </c>
      <c r="HN120" t="e">
        <f>AND(#REF!,"AAAAAAm3690=")</f>
        <v>#REF!</v>
      </c>
      <c r="HO120" t="e">
        <f>AND(#REF!,"AAAAAAm3694=")</f>
        <v>#REF!</v>
      </c>
      <c r="HP120" t="e">
        <f>AND(#REF!,"AAAAAAm3698=")</f>
        <v>#REF!</v>
      </c>
      <c r="HQ120" t="e">
        <f>AND(#REF!,"AAAAAAm36+A=")</f>
        <v>#REF!</v>
      </c>
      <c r="HR120" t="e">
        <f>IF(#REF!,"AAAAAAm36+E=",0)</f>
        <v>#REF!</v>
      </c>
      <c r="HS120" t="e">
        <f>AND(#REF!,"AAAAAAm36+I=")</f>
        <v>#REF!</v>
      </c>
      <c r="HT120" t="e">
        <f>AND(#REF!,"AAAAAAm36+M=")</f>
        <v>#REF!</v>
      </c>
      <c r="HU120" t="e">
        <f>AND(#REF!,"AAAAAAm36+Q=")</f>
        <v>#REF!</v>
      </c>
      <c r="HV120" t="e">
        <f>AND(#REF!,"AAAAAAm36+U=")</f>
        <v>#REF!</v>
      </c>
      <c r="HW120" t="e">
        <f>AND(#REF!,"AAAAAAm36+Y=")</f>
        <v>#REF!</v>
      </c>
      <c r="HX120" t="e">
        <f>AND(#REF!,"AAAAAAm36+c=")</f>
        <v>#REF!</v>
      </c>
      <c r="HY120" t="e">
        <f>IF(#REF!,"AAAAAAm36+g=",0)</f>
        <v>#REF!</v>
      </c>
      <c r="HZ120" t="e">
        <f>AND(#REF!,"AAAAAAm36+k=")</f>
        <v>#REF!</v>
      </c>
      <c r="IA120" t="e">
        <f>AND(#REF!,"AAAAAAm36+o=")</f>
        <v>#REF!</v>
      </c>
      <c r="IB120" t="e">
        <f>AND(#REF!,"AAAAAAm36+s=")</f>
        <v>#REF!</v>
      </c>
      <c r="IC120" t="e">
        <f>AND(#REF!,"AAAAAAm36+w=")</f>
        <v>#REF!</v>
      </c>
      <c r="ID120" t="e">
        <f>AND(#REF!,"AAAAAAm36+0=")</f>
        <v>#REF!</v>
      </c>
      <c r="IE120" t="e">
        <f>AND(#REF!,"AAAAAAm36+4=")</f>
        <v>#REF!</v>
      </c>
      <c r="IF120" t="e">
        <f>IF(#REF!,"AAAAAAm36+8=",0)</f>
        <v>#REF!</v>
      </c>
      <c r="IG120" t="e">
        <f>AND(#REF!,"AAAAAAm36/A=")</f>
        <v>#REF!</v>
      </c>
      <c r="IH120" t="e">
        <f>AND(#REF!,"AAAAAAm36/E=")</f>
        <v>#REF!</v>
      </c>
      <c r="II120" t="e">
        <f>AND(#REF!,"AAAAAAm36/I=")</f>
        <v>#REF!</v>
      </c>
      <c r="IJ120" t="e">
        <f>AND(#REF!,"AAAAAAm36/M=")</f>
        <v>#REF!</v>
      </c>
      <c r="IK120" t="e">
        <f>AND(#REF!,"AAAAAAm36/Q=")</f>
        <v>#REF!</v>
      </c>
      <c r="IL120" t="e">
        <f>AND(#REF!,"AAAAAAm36/U=")</f>
        <v>#REF!</v>
      </c>
      <c r="IM120" t="e">
        <f>IF(#REF!,"AAAAAAm36/Y=",0)</f>
        <v>#REF!</v>
      </c>
      <c r="IN120" t="e">
        <f>AND(#REF!,"AAAAAAm36/c=")</f>
        <v>#REF!</v>
      </c>
      <c r="IO120" t="e">
        <f>AND(#REF!,"AAAAAAm36/g=")</f>
        <v>#REF!</v>
      </c>
      <c r="IP120" t="e">
        <f>AND(#REF!,"AAAAAAm36/k=")</f>
        <v>#REF!</v>
      </c>
      <c r="IQ120" t="e">
        <f>AND(#REF!,"AAAAAAm36/o=")</f>
        <v>#REF!</v>
      </c>
      <c r="IR120" t="e">
        <f>AND(#REF!,"AAAAAAm36/s=")</f>
        <v>#REF!</v>
      </c>
      <c r="IS120" t="e">
        <f>AND(#REF!,"AAAAAAm36/w=")</f>
        <v>#REF!</v>
      </c>
      <c r="IT120" t="e">
        <f>IF(#REF!,"AAAAAAm36/0=",0)</f>
        <v>#REF!</v>
      </c>
      <c r="IU120" t="e">
        <f>AND(#REF!,"AAAAAAm36/4=")</f>
        <v>#REF!</v>
      </c>
      <c r="IV120" t="e">
        <f>AND(#REF!,"AAAAAAm36/8=")</f>
        <v>#REF!</v>
      </c>
    </row>
    <row r="121" spans="1:256" x14ac:dyDescent="0.15">
      <c r="A121" t="e">
        <f>AND(#REF!,"AAAAADEtnQA=")</f>
        <v>#REF!</v>
      </c>
      <c r="B121" t="e">
        <f>AND(#REF!,"AAAAADEtnQE=")</f>
        <v>#REF!</v>
      </c>
      <c r="C121" t="e">
        <f>AND(#REF!,"AAAAADEtnQI=")</f>
        <v>#REF!</v>
      </c>
      <c r="D121" t="e">
        <f>AND(#REF!,"AAAAADEtnQM=")</f>
        <v>#REF!</v>
      </c>
      <c r="E121" t="e">
        <f>IF(#REF!,"AAAAADEtnQQ=",0)</f>
        <v>#REF!</v>
      </c>
      <c r="F121" t="e">
        <f>AND(#REF!,"AAAAADEtnQU=")</f>
        <v>#REF!</v>
      </c>
      <c r="G121" t="e">
        <f>AND(#REF!,"AAAAADEtnQY=")</f>
        <v>#REF!</v>
      </c>
      <c r="H121" t="e">
        <f>AND(#REF!,"AAAAADEtnQc=")</f>
        <v>#REF!</v>
      </c>
      <c r="I121" t="e">
        <f>AND(#REF!,"AAAAADEtnQg=")</f>
        <v>#REF!</v>
      </c>
      <c r="J121" t="e">
        <f>AND(#REF!,"AAAAADEtnQk=")</f>
        <v>#REF!</v>
      </c>
      <c r="K121" t="e">
        <f>AND(#REF!,"AAAAADEtnQo=")</f>
        <v>#REF!</v>
      </c>
      <c r="L121" t="e">
        <f>IF(#REF!,"AAAAADEtnQs=",0)</f>
        <v>#REF!</v>
      </c>
      <c r="M121" t="e">
        <f>AND(#REF!,"AAAAADEtnQw=")</f>
        <v>#REF!</v>
      </c>
      <c r="N121" t="e">
        <f>AND(#REF!,"AAAAADEtnQ0=")</f>
        <v>#REF!</v>
      </c>
      <c r="O121" t="e">
        <f>AND(#REF!,"AAAAADEtnQ4=")</f>
        <v>#REF!</v>
      </c>
      <c r="P121" t="e">
        <f>AND(#REF!,"AAAAADEtnQ8=")</f>
        <v>#REF!</v>
      </c>
      <c r="Q121" t="e">
        <f>AND(#REF!,"AAAAADEtnRA=")</f>
        <v>#REF!</v>
      </c>
      <c r="R121" t="e">
        <f>AND(#REF!,"AAAAADEtnRE=")</f>
        <v>#REF!</v>
      </c>
      <c r="S121" t="e">
        <f>IF(#REF!,"AAAAADEtnRI=",0)</f>
        <v>#REF!</v>
      </c>
      <c r="T121" t="e">
        <f>AND(#REF!,"AAAAADEtnRM=")</f>
        <v>#REF!</v>
      </c>
      <c r="U121" t="e">
        <f>AND(#REF!,"AAAAADEtnRQ=")</f>
        <v>#REF!</v>
      </c>
      <c r="V121" t="e">
        <f>AND(#REF!,"AAAAADEtnRU=")</f>
        <v>#REF!</v>
      </c>
      <c r="W121" t="e">
        <f>AND(#REF!,"AAAAADEtnRY=")</f>
        <v>#REF!</v>
      </c>
      <c r="X121" t="e">
        <f>AND(#REF!,"AAAAADEtnRc=")</f>
        <v>#REF!</v>
      </c>
      <c r="Y121" t="e">
        <f>AND(#REF!,"AAAAADEtnRg=")</f>
        <v>#REF!</v>
      </c>
      <c r="Z121" t="e">
        <f>IF(#REF!,"AAAAADEtnRk=",0)</f>
        <v>#REF!</v>
      </c>
      <c r="AA121" t="e">
        <f>AND(#REF!,"AAAAADEtnRo=")</f>
        <v>#REF!</v>
      </c>
      <c r="AB121" t="e">
        <f>AND(#REF!,"AAAAADEtnRs=")</f>
        <v>#REF!</v>
      </c>
      <c r="AC121" t="e">
        <f>AND(#REF!,"AAAAADEtnRw=")</f>
        <v>#REF!</v>
      </c>
      <c r="AD121" t="e">
        <f>AND(#REF!,"AAAAADEtnR0=")</f>
        <v>#REF!</v>
      </c>
      <c r="AE121" t="e">
        <f>AND(#REF!,"AAAAADEtnR4=")</f>
        <v>#REF!</v>
      </c>
      <c r="AF121" t="e">
        <f>AND(#REF!,"AAAAADEtnR8=")</f>
        <v>#REF!</v>
      </c>
      <c r="AG121" t="e">
        <f>IF(#REF!,"AAAAADEtnSA=",0)</f>
        <v>#REF!</v>
      </c>
      <c r="AH121" t="e">
        <f>AND(#REF!,"AAAAADEtnSE=")</f>
        <v>#REF!</v>
      </c>
      <c r="AI121" t="e">
        <f>AND(#REF!,"AAAAADEtnSI=")</f>
        <v>#REF!</v>
      </c>
      <c r="AJ121" t="e">
        <f>AND(#REF!,"AAAAADEtnSM=")</f>
        <v>#REF!</v>
      </c>
      <c r="AK121" t="e">
        <f>AND(#REF!,"AAAAADEtnSQ=")</f>
        <v>#REF!</v>
      </c>
      <c r="AL121" t="e">
        <f>AND(#REF!,"AAAAADEtnSU=")</f>
        <v>#REF!</v>
      </c>
      <c r="AM121" t="e">
        <f>AND(#REF!,"AAAAADEtnSY=")</f>
        <v>#REF!</v>
      </c>
      <c r="AN121" t="e">
        <f>IF(#REF!,"AAAAADEtnSc=",0)</f>
        <v>#REF!</v>
      </c>
      <c r="AO121" t="e">
        <f>AND(#REF!,"AAAAADEtnSg=")</f>
        <v>#REF!</v>
      </c>
      <c r="AP121" t="e">
        <f>AND(#REF!,"AAAAADEtnSk=")</f>
        <v>#REF!</v>
      </c>
      <c r="AQ121" t="e">
        <f>AND(#REF!,"AAAAADEtnSo=")</f>
        <v>#REF!</v>
      </c>
      <c r="AR121" t="e">
        <f>AND(#REF!,"AAAAADEtnSs=")</f>
        <v>#REF!</v>
      </c>
      <c r="AS121" t="e">
        <f>AND(#REF!,"AAAAADEtnSw=")</f>
        <v>#REF!</v>
      </c>
      <c r="AT121" t="e">
        <f>AND(#REF!,"AAAAADEtnS0=")</f>
        <v>#REF!</v>
      </c>
      <c r="AU121" t="e">
        <f>IF(#REF!,"AAAAADEtnS4=",0)</f>
        <v>#REF!</v>
      </c>
      <c r="AV121" t="e">
        <f>AND(#REF!,"AAAAADEtnS8=")</f>
        <v>#REF!</v>
      </c>
      <c r="AW121" t="e">
        <f>AND(#REF!,"AAAAADEtnTA=")</f>
        <v>#REF!</v>
      </c>
      <c r="AX121" t="e">
        <f>AND(#REF!,"AAAAADEtnTE=")</f>
        <v>#REF!</v>
      </c>
      <c r="AY121" t="e">
        <f>AND(#REF!,"AAAAADEtnTI=")</f>
        <v>#REF!</v>
      </c>
      <c r="AZ121" t="e">
        <f>AND(#REF!,"AAAAADEtnTM=")</f>
        <v>#REF!</v>
      </c>
      <c r="BA121" t="e">
        <f>AND(#REF!,"AAAAADEtnTQ=")</f>
        <v>#REF!</v>
      </c>
      <c r="BB121" t="e">
        <f>IF(#REF!,"AAAAADEtnTU=",0)</f>
        <v>#REF!</v>
      </c>
      <c r="BC121" t="e">
        <f>AND(#REF!,"AAAAADEtnTY=")</f>
        <v>#REF!</v>
      </c>
      <c r="BD121" t="e">
        <f>AND(#REF!,"AAAAADEtnTc=")</f>
        <v>#REF!</v>
      </c>
      <c r="BE121" t="e">
        <f>AND(#REF!,"AAAAADEtnTg=")</f>
        <v>#REF!</v>
      </c>
      <c r="BF121" t="e">
        <f>AND(#REF!,"AAAAADEtnTk=")</f>
        <v>#REF!</v>
      </c>
      <c r="BG121" t="e">
        <f>AND(#REF!,"AAAAADEtnTo=")</f>
        <v>#REF!</v>
      </c>
      <c r="BH121" t="e">
        <f>AND(#REF!,"AAAAADEtnTs=")</f>
        <v>#REF!</v>
      </c>
      <c r="BI121" t="e">
        <f>IF(#REF!,"AAAAADEtnTw=",0)</f>
        <v>#REF!</v>
      </c>
      <c r="BJ121" t="e">
        <f>AND(#REF!,"AAAAADEtnT0=")</f>
        <v>#REF!</v>
      </c>
      <c r="BK121" t="e">
        <f>AND(#REF!,"AAAAADEtnT4=")</f>
        <v>#REF!</v>
      </c>
      <c r="BL121" t="e">
        <f>AND(#REF!,"AAAAADEtnT8=")</f>
        <v>#REF!</v>
      </c>
      <c r="BM121" t="e">
        <f>AND(#REF!,"AAAAADEtnUA=")</f>
        <v>#REF!</v>
      </c>
      <c r="BN121" t="e">
        <f>AND(#REF!,"AAAAADEtnUE=")</f>
        <v>#REF!</v>
      </c>
      <c r="BO121" t="e">
        <f>AND(#REF!,"AAAAADEtnUI=")</f>
        <v>#REF!</v>
      </c>
      <c r="BP121" t="e">
        <f>IF(#REF!,"AAAAADEtnUM=",0)</f>
        <v>#REF!</v>
      </c>
      <c r="BQ121" t="e">
        <f>AND(#REF!,"AAAAADEtnUQ=")</f>
        <v>#REF!</v>
      </c>
      <c r="BR121" t="e">
        <f>AND(#REF!,"AAAAADEtnUU=")</f>
        <v>#REF!</v>
      </c>
      <c r="BS121" t="e">
        <f>AND(#REF!,"AAAAADEtnUY=")</f>
        <v>#REF!</v>
      </c>
      <c r="BT121" t="e">
        <f>AND(#REF!,"AAAAADEtnUc=")</f>
        <v>#REF!</v>
      </c>
      <c r="BU121" t="e">
        <f>AND(#REF!,"AAAAADEtnUg=")</f>
        <v>#REF!</v>
      </c>
      <c r="BV121" t="e">
        <f>AND(#REF!,"AAAAADEtnUk=")</f>
        <v>#REF!</v>
      </c>
      <c r="BW121" t="e">
        <f>IF(#REF!,"AAAAADEtnUo=",0)</f>
        <v>#REF!</v>
      </c>
      <c r="BX121" t="e">
        <f>AND(#REF!,"AAAAADEtnUs=")</f>
        <v>#REF!</v>
      </c>
      <c r="BY121" t="e">
        <f>AND(#REF!,"AAAAADEtnUw=")</f>
        <v>#REF!</v>
      </c>
      <c r="BZ121" t="e">
        <f>AND(#REF!,"AAAAADEtnU0=")</f>
        <v>#REF!</v>
      </c>
      <c r="CA121" t="e">
        <f>AND(#REF!,"AAAAADEtnU4=")</f>
        <v>#REF!</v>
      </c>
      <c r="CB121" t="e">
        <f>AND(#REF!,"AAAAADEtnU8=")</f>
        <v>#REF!</v>
      </c>
      <c r="CC121" t="e">
        <f>AND(#REF!,"AAAAADEtnVA=")</f>
        <v>#REF!</v>
      </c>
      <c r="CD121" t="e">
        <f>IF(#REF!,"AAAAADEtnVE=",0)</f>
        <v>#REF!</v>
      </c>
      <c r="CE121" t="e">
        <f>AND(#REF!,"AAAAADEtnVI=")</f>
        <v>#REF!</v>
      </c>
      <c r="CF121" t="e">
        <f>AND(#REF!,"AAAAADEtnVM=")</f>
        <v>#REF!</v>
      </c>
      <c r="CG121" t="e">
        <f>AND(#REF!,"AAAAADEtnVQ=")</f>
        <v>#REF!</v>
      </c>
      <c r="CH121" t="e">
        <f>AND(#REF!,"AAAAADEtnVU=")</f>
        <v>#REF!</v>
      </c>
      <c r="CI121" t="e">
        <f>AND(#REF!,"AAAAADEtnVY=")</f>
        <v>#REF!</v>
      </c>
      <c r="CJ121" t="e">
        <f>AND(#REF!,"AAAAADEtnVc=")</f>
        <v>#REF!</v>
      </c>
      <c r="CK121" t="e">
        <f>IF(#REF!,"AAAAADEtnVg=",0)</f>
        <v>#REF!</v>
      </c>
      <c r="CL121" t="e">
        <f>AND(#REF!,"AAAAADEtnVk=")</f>
        <v>#REF!</v>
      </c>
      <c r="CM121" t="e">
        <f>AND(#REF!,"AAAAADEtnVo=")</f>
        <v>#REF!</v>
      </c>
      <c r="CN121" t="e">
        <f>AND(#REF!,"AAAAADEtnVs=")</f>
        <v>#REF!</v>
      </c>
      <c r="CO121" t="e">
        <f>AND(#REF!,"AAAAADEtnVw=")</f>
        <v>#REF!</v>
      </c>
      <c r="CP121" t="e">
        <f>AND(#REF!,"AAAAADEtnV0=")</f>
        <v>#REF!</v>
      </c>
      <c r="CQ121" t="e">
        <f>AND(#REF!,"AAAAADEtnV4=")</f>
        <v>#REF!</v>
      </c>
      <c r="CR121" t="e">
        <f>IF(#REF!,"AAAAADEtnV8=",0)</f>
        <v>#REF!</v>
      </c>
      <c r="CS121" t="e">
        <f>AND(#REF!,"AAAAADEtnWA=")</f>
        <v>#REF!</v>
      </c>
      <c r="CT121" t="e">
        <f>AND(#REF!,"AAAAADEtnWE=")</f>
        <v>#REF!</v>
      </c>
      <c r="CU121" t="e">
        <f>AND(#REF!,"AAAAADEtnWI=")</f>
        <v>#REF!</v>
      </c>
      <c r="CV121" t="e">
        <f>AND(#REF!,"AAAAADEtnWM=")</f>
        <v>#REF!</v>
      </c>
      <c r="CW121" t="e">
        <f>AND(#REF!,"AAAAADEtnWQ=")</f>
        <v>#REF!</v>
      </c>
      <c r="CX121" t="e">
        <f>AND(#REF!,"AAAAADEtnWU=")</f>
        <v>#REF!</v>
      </c>
      <c r="CY121" t="e">
        <f>IF(#REF!,"AAAAADEtnWY=",0)</f>
        <v>#REF!</v>
      </c>
      <c r="CZ121" t="e">
        <f>AND(#REF!,"AAAAADEtnWc=")</f>
        <v>#REF!</v>
      </c>
      <c r="DA121" t="e">
        <f>AND(#REF!,"AAAAADEtnWg=")</f>
        <v>#REF!</v>
      </c>
      <c r="DB121" t="e">
        <f>AND(#REF!,"AAAAADEtnWk=")</f>
        <v>#REF!</v>
      </c>
      <c r="DC121" t="e">
        <f>AND(#REF!,"AAAAADEtnWo=")</f>
        <v>#REF!</v>
      </c>
      <c r="DD121" t="e">
        <f>AND(#REF!,"AAAAADEtnWs=")</f>
        <v>#REF!</v>
      </c>
      <c r="DE121" t="e">
        <f>AND(#REF!,"AAAAADEtnWw=")</f>
        <v>#REF!</v>
      </c>
      <c r="DF121" t="e">
        <f>IF(#REF!,"AAAAADEtnW0=",0)</f>
        <v>#REF!</v>
      </c>
      <c r="DG121" t="e">
        <f>AND(#REF!,"AAAAADEtnW4=")</f>
        <v>#REF!</v>
      </c>
      <c r="DH121" t="e">
        <f>AND(#REF!,"AAAAADEtnW8=")</f>
        <v>#REF!</v>
      </c>
      <c r="DI121" t="e">
        <f>AND(#REF!,"AAAAADEtnXA=")</f>
        <v>#REF!</v>
      </c>
      <c r="DJ121" t="e">
        <f>AND(#REF!,"AAAAADEtnXE=")</f>
        <v>#REF!</v>
      </c>
      <c r="DK121" t="e">
        <f>AND(#REF!,"AAAAADEtnXI=")</f>
        <v>#REF!</v>
      </c>
      <c r="DL121" t="e">
        <f>AND(#REF!,"AAAAADEtnXM=")</f>
        <v>#REF!</v>
      </c>
      <c r="DM121" t="e">
        <f>IF(#REF!,"AAAAADEtnXQ=",0)</f>
        <v>#REF!</v>
      </c>
      <c r="DN121" t="e">
        <f>AND(#REF!,"AAAAADEtnXU=")</f>
        <v>#REF!</v>
      </c>
      <c r="DO121" t="e">
        <f>AND(#REF!,"AAAAADEtnXY=")</f>
        <v>#REF!</v>
      </c>
      <c r="DP121" t="e">
        <f>AND(#REF!,"AAAAADEtnXc=")</f>
        <v>#REF!</v>
      </c>
      <c r="DQ121" t="e">
        <f>AND(#REF!,"AAAAADEtnXg=")</f>
        <v>#REF!</v>
      </c>
      <c r="DR121" t="e">
        <f>AND(#REF!,"AAAAADEtnXk=")</f>
        <v>#REF!</v>
      </c>
      <c r="DS121" t="e">
        <f>AND(#REF!,"AAAAADEtnXo=")</f>
        <v>#REF!</v>
      </c>
      <c r="DT121" t="e">
        <f>IF(#REF!,"AAAAADEtnXs=",0)</f>
        <v>#REF!</v>
      </c>
      <c r="DU121" t="e">
        <f>IF(#REF!,"AAAAADEtnXw=",0)</f>
        <v>#REF!</v>
      </c>
      <c r="DV121" t="e">
        <f>IF(#REF!,"AAAAADEtnX0=",0)</f>
        <v>#REF!</v>
      </c>
      <c r="DW121" t="e">
        <f>IF(#REF!,"AAAAADEtnX4=",0)</f>
        <v>#REF!</v>
      </c>
      <c r="DX121" t="e">
        <f>IF(#REF!,"AAAAADEtnX8=",0)</f>
        <v>#REF!</v>
      </c>
      <c r="DY121" t="e">
        <f>IF(#REF!,"AAAAADEtnYA=",0)</f>
        <v>#REF!</v>
      </c>
      <c r="DZ121" t="e">
        <f>IF(#REF!,"AAAAADEtnYE=",0)</f>
        <v>#REF!</v>
      </c>
      <c r="EA121" t="e">
        <f>AND(#REF!,"AAAAADEtnYI=")</f>
        <v>#REF!</v>
      </c>
      <c r="EB121" t="e">
        <f>AND(#REF!,"AAAAADEtnYM=")</f>
        <v>#REF!</v>
      </c>
      <c r="EC121" t="e">
        <f>AND(#REF!,"AAAAADEtnYQ=")</f>
        <v>#REF!</v>
      </c>
      <c r="ED121" t="e">
        <f>IF(#REF!,"AAAAADEtnYU=",0)</f>
        <v>#REF!</v>
      </c>
      <c r="EE121" t="e">
        <f>AND(#REF!,"AAAAADEtnYY=")</f>
        <v>#REF!</v>
      </c>
      <c r="EF121" t="e">
        <f>AND(#REF!,"AAAAADEtnYc=")</f>
        <v>#REF!</v>
      </c>
      <c r="EG121" t="e">
        <f>AND(#REF!,"AAAAADEtnYg=")</f>
        <v>#REF!</v>
      </c>
      <c r="EH121" t="e">
        <f>IF(#REF!,"AAAAADEtnYk=",0)</f>
        <v>#REF!</v>
      </c>
      <c r="EI121" t="e">
        <f>AND(#REF!,"AAAAADEtnYo=")</f>
        <v>#REF!</v>
      </c>
      <c r="EJ121" t="e">
        <f>AND(#REF!,"AAAAADEtnYs=")</f>
        <v>#REF!</v>
      </c>
      <c r="EK121" t="e">
        <f>AND(#REF!,"AAAAADEtnYw=")</f>
        <v>#REF!</v>
      </c>
      <c r="EL121" t="e">
        <f>IF(#REF!,"AAAAADEtnY0=",0)</f>
        <v>#REF!</v>
      </c>
      <c r="EM121" t="e">
        <f>AND(#REF!,"AAAAADEtnY4=")</f>
        <v>#REF!</v>
      </c>
      <c r="EN121" t="e">
        <f>AND(#REF!,"AAAAADEtnY8=")</f>
        <v>#REF!</v>
      </c>
      <c r="EO121" t="e">
        <f>AND(#REF!,"AAAAADEtnZA=")</f>
        <v>#REF!</v>
      </c>
      <c r="EP121" t="e">
        <f>IF(#REF!,"AAAAADEtnZE=",0)</f>
        <v>#REF!</v>
      </c>
      <c r="EQ121" t="e">
        <f>AND(#REF!,"AAAAADEtnZI=")</f>
        <v>#REF!</v>
      </c>
      <c r="ER121" t="e">
        <f>AND(#REF!,"AAAAADEtnZM=")</f>
        <v>#REF!</v>
      </c>
      <c r="ES121" t="e">
        <f>AND(#REF!,"AAAAADEtnZQ=")</f>
        <v>#REF!</v>
      </c>
      <c r="ET121" t="e">
        <f>IF(#REF!,"AAAAADEtnZU=",0)</f>
        <v>#REF!</v>
      </c>
      <c r="EU121" t="e">
        <f>AND(#REF!,"AAAAADEtnZY=")</f>
        <v>#REF!</v>
      </c>
      <c r="EV121" t="e">
        <f>AND(#REF!,"AAAAADEtnZc=")</f>
        <v>#REF!</v>
      </c>
      <c r="EW121" t="e">
        <f>AND(#REF!,"AAAAADEtnZg=")</f>
        <v>#REF!</v>
      </c>
      <c r="EX121" t="e">
        <f>IF(#REF!,"AAAAADEtnZk=",0)</f>
        <v>#REF!</v>
      </c>
      <c r="EY121" t="e">
        <f>AND(#REF!,"AAAAADEtnZo=")</f>
        <v>#REF!</v>
      </c>
      <c r="EZ121" t="e">
        <f>AND(#REF!,"AAAAADEtnZs=")</f>
        <v>#REF!</v>
      </c>
      <c r="FA121" t="e">
        <f>AND(#REF!,"AAAAADEtnZw=")</f>
        <v>#REF!</v>
      </c>
      <c r="FB121" t="e">
        <f>IF(#REF!,"AAAAADEtnZ0=",0)</f>
        <v>#REF!</v>
      </c>
      <c r="FC121" t="e">
        <f>AND(#REF!,"AAAAADEtnZ4=")</f>
        <v>#REF!</v>
      </c>
      <c r="FD121" t="e">
        <f>AND(#REF!,"AAAAADEtnZ8=")</f>
        <v>#REF!</v>
      </c>
      <c r="FE121" t="e">
        <f>AND(#REF!,"AAAAADEtnaA=")</f>
        <v>#REF!</v>
      </c>
      <c r="FF121" t="e">
        <f>IF(#REF!,"AAAAADEtnaE=",0)</f>
        <v>#REF!</v>
      </c>
      <c r="FG121" t="e">
        <f>AND(#REF!,"AAAAADEtnaI=")</f>
        <v>#REF!</v>
      </c>
      <c r="FH121" t="e">
        <f>AND(#REF!,"AAAAADEtnaM=")</f>
        <v>#REF!</v>
      </c>
      <c r="FI121" t="e">
        <f>AND(#REF!,"AAAAADEtnaQ=")</f>
        <v>#REF!</v>
      </c>
      <c r="FJ121" t="e">
        <f>IF(#REF!,"AAAAADEtnaU=",0)</f>
        <v>#REF!</v>
      </c>
      <c r="FK121" t="e">
        <f>AND(#REF!,"AAAAADEtnaY=")</f>
        <v>#REF!</v>
      </c>
      <c r="FL121" t="e">
        <f>AND(#REF!,"AAAAADEtnac=")</f>
        <v>#REF!</v>
      </c>
      <c r="FM121" t="e">
        <f>AND(#REF!,"AAAAADEtnag=")</f>
        <v>#REF!</v>
      </c>
      <c r="FN121" t="e">
        <f>IF(#REF!,"AAAAADEtnak=",0)</f>
        <v>#REF!</v>
      </c>
      <c r="FO121" t="e">
        <f>AND(#REF!,"AAAAADEtnao=")</f>
        <v>#REF!</v>
      </c>
      <c r="FP121" t="e">
        <f>AND(#REF!,"AAAAADEtnas=")</f>
        <v>#REF!</v>
      </c>
      <c r="FQ121" t="e">
        <f>AND(#REF!,"AAAAADEtnaw=")</f>
        <v>#REF!</v>
      </c>
      <c r="FR121" t="e">
        <f>IF(#REF!,"AAAAADEtna0=",0)</f>
        <v>#REF!</v>
      </c>
      <c r="FS121" t="e">
        <f>AND(#REF!,"AAAAADEtna4=")</f>
        <v>#REF!</v>
      </c>
      <c r="FT121" t="e">
        <f>AND(#REF!,"AAAAADEtna8=")</f>
        <v>#REF!</v>
      </c>
      <c r="FU121" t="e">
        <f>AND(#REF!,"AAAAADEtnbA=")</f>
        <v>#REF!</v>
      </c>
      <c r="FV121" t="e">
        <f>IF(#REF!,"AAAAADEtnbE=",0)</f>
        <v>#REF!</v>
      </c>
      <c r="FW121" t="e">
        <f>AND(#REF!,"AAAAADEtnbI=")</f>
        <v>#REF!</v>
      </c>
      <c r="FX121" t="e">
        <f>AND(#REF!,"AAAAADEtnbM=")</f>
        <v>#REF!</v>
      </c>
      <c r="FY121" t="e">
        <f>AND(#REF!,"AAAAADEtnbQ=")</f>
        <v>#REF!</v>
      </c>
      <c r="FZ121" t="e">
        <f>IF(#REF!,"AAAAADEtnbU=",0)</f>
        <v>#REF!</v>
      </c>
      <c r="GA121" t="e">
        <f>AND(#REF!,"AAAAADEtnbY=")</f>
        <v>#REF!</v>
      </c>
      <c r="GB121" t="e">
        <f>AND(#REF!,"AAAAADEtnbc=")</f>
        <v>#REF!</v>
      </c>
      <c r="GC121" t="e">
        <f>AND(#REF!,"AAAAADEtnbg=")</f>
        <v>#REF!</v>
      </c>
      <c r="GD121" t="e">
        <f>IF(#REF!,"AAAAADEtnbk=",0)</f>
        <v>#REF!</v>
      </c>
      <c r="GE121" t="e">
        <f>AND(#REF!,"AAAAADEtnbo=")</f>
        <v>#REF!</v>
      </c>
      <c r="GF121" t="e">
        <f>AND(#REF!,"AAAAADEtnbs=")</f>
        <v>#REF!</v>
      </c>
      <c r="GG121" t="e">
        <f>AND(#REF!,"AAAAADEtnbw=")</f>
        <v>#REF!</v>
      </c>
      <c r="GH121" t="e">
        <f>IF(#REF!,"AAAAADEtnb0=",0)</f>
        <v>#REF!</v>
      </c>
      <c r="GI121" t="e">
        <f>AND(#REF!,"AAAAADEtnb4=")</f>
        <v>#REF!</v>
      </c>
      <c r="GJ121" t="e">
        <f>AND(#REF!,"AAAAADEtnb8=")</f>
        <v>#REF!</v>
      </c>
      <c r="GK121" t="e">
        <f>AND(#REF!,"AAAAADEtncA=")</f>
        <v>#REF!</v>
      </c>
      <c r="GL121" t="e">
        <f>IF(#REF!,"AAAAADEtncE=",0)</f>
        <v>#REF!</v>
      </c>
      <c r="GM121" t="e">
        <f>AND(#REF!,"AAAAADEtncI=")</f>
        <v>#REF!</v>
      </c>
      <c r="GN121" t="e">
        <f>AND(#REF!,"AAAAADEtncM=")</f>
        <v>#REF!</v>
      </c>
      <c r="GO121" t="e">
        <f>AND(#REF!,"AAAAADEtncQ=")</f>
        <v>#REF!</v>
      </c>
      <c r="GP121" t="e">
        <f>IF(#REF!,"AAAAADEtncU=",0)</f>
        <v>#REF!</v>
      </c>
      <c r="GQ121" t="e">
        <f>AND(#REF!,"AAAAADEtncY=")</f>
        <v>#REF!</v>
      </c>
      <c r="GR121" t="e">
        <f>AND(#REF!,"AAAAADEtncc=")</f>
        <v>#REF!</v>
      </c>
      <c r="GS121" t="e">
        <f>AND(#REF!,"AAAAADEtncg=")</f>
        <v>#REF!</v>
      </c>
      <c r="GT121" t="e">
        <f>IF(#REF!,"AAAAADEtnck=",0)</f>
        <v>#REF!</v>
      </c>
      <c r="GU121" t="e">
        <f>AND(#REF!,"AAAAADEtnco=")</f>
        <v>#REF!</v>
      </c>
      <c r="GV121" t="e">
        <f>AND(#REF!,"AAAAADEtncs=")</f>
        <v>#REF!</v>
      </c>
      <c r="GW121" t="e">
        <f>AND(#REF!,"AAAAADEtncw=")</f>
        <v>#REF!</v>
      </c>
      <c r="GX121" t="e">
        <f>IF(#REF!,"AAAAADEtnc0=",0)</f>
        <v>#REF!</v>
      </c>
      <c r="GY121" t="e">
        <f>AND(#REF!,"AAAAADEtnc4=")</f>
        <v>#REF!</v>
      </c>
      <c r="GZ121" t="e">
        <f>AND(#REF!,"AAAAADEtnc8=")</f>
        <v>#REF!</v>
      </c>
      <c r="HA121" t="e">
        <f>AND(#REF!,"AAAAADEtndA=")</f>
        <v>#REF!</v>
      </c>
      <c r="HB121" t="e">
        <f>IF(#REF!,"AAAAADEtndE=",0)</f>
        <v>#REF!</v>
      </c>
      <c r="HC121" t="e">
        <f>AND(#REF!,"AAAAADEtndI=")</f>
        <v>#REF!</v>
      </c>
      <c r="HD121" t="e">
        <f>AND(#REF!,"AAAAADEtndM=")</f>
        <v>#REF!</v>
      </c>
      <c r="HE121" t="e">
        <f>AND(#REF!,"AAAAADEtndQ=")</f>
        <v>#REF!</v>
      </c>
      <c r="HF121" t="e">
        <f>IF(#REF!,"AAAAADEtndU=",0)</f>
        <v>#REF!</v>
      </c>
      <c r="HG121" t="e">
        <f>AND(#REF!,"AAAAADEtndY=")</f>
        <v>#REF!</v>
      </c>
      <c r="HH121" t="e">
        <f>AND(#REF!,"AAAAADEtndc=")</f>
        <v>#REF!</v>
      </c>
      <c r="HI121" t="e">
        <f>AND(#REF!,"AAAAADEtndg=")</f>
        <v>#REF!</v>
      </c>
      <c r="HJ121" t="e">
        <f>IF(#REF!,"AAAAADEtndk=",0)</f>
        <v>#REF!</v>
      </c>
      <c r="HK121" t="e">
        <f>AND(#REF!,"AAAAADEtndo=")</f>
        <v>#REF!</v>
      </c>
      <c r="HL121" t="e">
        <f>AND(#REF!,"AAAAADEtnds=")</f>
        <v>#REF!</v>
      </c>
      <c r="HM121" t="e">
        <f>AND(#REF!,"AAAAADEtndw=")</f>
        <v>#REF!</v>
      </c>
      <c r="HN121" t="e">
        <f>IF(#REF!,"AAAAADEtnd0=",0)</f>
        <v>#REF!</v>
      </c>
      <c r="HO121" t="e">
        <f>AND(#REF!,"AAAAADEtnd4=")</f>
        <v>#REF!</v>
      </c>
      <c r="HP121" t="e">
        <f>AND(#REF!,"AAAAADEtnd8=")</f>
        <v>#REF!</v>
      </c>
      <c r="HQ121" t="e">
        <f>AND(#REF!,"AAAAADEtneA=")</f>
        <v>#REF!</v>
      </c>
      <c r="HR121" t="e">
        <f>IF(#REF!,"AAAAADEtneE=",0)</f>
        <v>#REF!</v>
      </c>
      <c r="HS121" t="e">
        <f>AND(#REF!,"AAAAADEtneI=")</f>
        <v>#REF!</v>
      </c>
      <c r="HT121" t="e">
        <f>AND(#REF!,"AAAAADEtneM=")</f>
        <v>#REF!</v>
      </c>
      <c r="HU121" t="e">
        <f>AND(#REF!,"AAAAADEtneQ=")</f>
        <v>#REF!</v>
      </c>
      <c r="HV121" t="e">
        <f>IF(#REF!,"AAAAADEtneU=",0)</f>
        <v>#REF!</v>
      </c>
      <c r="HW121" t="e">
        <f>AND(#REF!,"AAAAADEtneY=")</f>
        <v>#REF!</v>
      </c>
      <c r="HX121" t="e">
        <f>AND(#REF!,"AAAAADEtnec=")</f>
        <v>#REF!</v>
      </c>
      <c r="HY121" t="e">
        <f>AND(#REF!,"AAAAADEtneg=")</f>
        <v>#REF!</v>
      </c>
      <c r="HZ121" t="e">
        <f>IF(#REF!,"AAAAADEtnek=",0)</f>
        <v>#REF!</v>
      </c>
      <c r="IA121" t="e">
        <f>AND(#REF!,"AAAAADEtneo=")</f>
        <v>#REF!</v>
      </c>
      <c r="IB121" t="e">
        <f>AND(#REF!,"AAAAADEtnes=")</f>
        <v>#REF!</v>
      </c>
      <c r="IC121" t="e">
        <f>AND(#REF!,"AAAAADEtnew=")</f>
        <v>#REF!</v>
      </c>
      <c r="ID121" t="e">
        <f>IF(#REF!,"AAAAADEtne0=",0)</f>
        <v>#REF!</v>
      </c>
      <c r="IE121" t="e">
        <f>AND(#REF!,"AAAAADEtne4=")</f>
        <v>#REF!</v>
      </c>
      <c r="IF121" t="e">
        <f>AND(#REF!,"AAAAADEtne8=")</f>
        <v>#REF!</v>
      </c>
      <c r="IG121" t="e">
        <f>AND(#REF!,"AAAAADEtnfA=")</f>
        <v>#REF!</v>
      </c>
      <c r="IH121" t="e">
        <f>IF(#REF!,"AAAAADEtnfE=",0)</f>
        <v>#REF!</v>
      </c>
      <c r="II121" t="e">
        <f>AND(#REF!,"AAAAADEtnfI=")</f>
        <v>#REF!</v>
      </c>
      <c r="IJ121" t="e">
        <f>AND(#REF!,"AAAAADEtnfM=")</f>
        <v>#REF!</v>
      </c>
      <c r="IK121" t="e">
        <f>AND(#REF!,"AAAAADEtnfQ=")</f>
        <v>#REF!</v>
      </c>
      <c r="IL121" t="e">
        <f>IF(#REF!,"AAAAADEtnfU=",0)</f>
        <v>#REF!</v>
      </c>
      <c r="IM121" t="e">
        <f>AND(#REF!,"AAAAADEtnfY=")</f>
        <v>#REF!</v>
      </c>
      <c r="IN121" t="e">
        <f>AND(#REF!,"AAAAADEtnfc=")</f>
        <v>#REF!</v>
      </c>
      <c r="IO121" t="e">
        <f>AND(#REF!,"AAAAADEtnfg=")</f>
        <v>#REF!</v>
      </c>
      <c r="IP121" t="e">
        <f>IF(#REF!,"AAAAADEtnfk=",0)</f>
        <v>#REF!</v>
      </c>
      <c r="IQ121" t="e">
        <f>AND(#REF!,"AAAAADEtnfo=")</f>
        <v>#REF!</v>
      </c>
      <c r="IR121" t="e">
        <f>AND(#REF!,"AAAAADEtnfs=")</f>
        <v>#REF!</v>
      </c>
      <c r="IS121" t="e">
        <f>AND(#REF!,"AAAAADEtnfw=")</f>
        <v>#REF!</v>
      </c>
      <c r="IT121" t="e">
        <f>IF(#REF!,"AAAAADEtnf0=",0)</f>
        <v>#REF!</v>
      </c>
      <c r="IU121" t="e">
        <f>AND(#REF!,"AAAAADEtnf4=")</f>
        <v>#REF!</v>
      </c>
      <c r="IV121" t="e">
        <f>AND(#REF!,"AAAAADEtnf8=")</f>
        <v>#REF!</v>
      </c>
    </row>
    <row r="122" spans="1:256" x14ac:dyDescent="0.15">
      <c r="A122" t="e">
        <f>IF(#REF!,"AAAAAH+auwA=",0)</f>
        <v>#REF!</v>
      </c>
      <c r="B122" t="e">
        <f>AND(#REF!,"AAAAAH+auwE=")</f>
        <v>#REF!</v>
      </c>
      <c r="C122" t="e">
        <f>AND(#REF!,"AAAAAH+auwI=")</f>
        <v>#REF!</v>
      </c>
      <c r="D122" t="e">
        <f>IF(#REF!,"AAAAAH+auwM=",0)</f>
        <v>#REF!</v>
      </c>
      <c r="E122" t="e">
        <f>IF(#REF!,"AAAAAH+auwQ=",0)</f>
        <v>#REF!</v>
      </c>
      <c r="F122" t="e">
        <f>IF(#REF!,"AAAAAH+auwU=",0)</f>
        <v>#REF!</v>
      </c>
      <c r="G122" t="e">
        <f>IF(#REF!,"AAAAAH+auwY=",0)</f>
        <v>#REF!</v>
      </c>
      <c r="H122">
        <f>IF(Sheet1!1:1,"AAAAAH+auwc=",0)</f>
        <v>0</v>
      </c>
      <c r="I122" t="e">
        <f>AND(Sheet1!A1,"AAAAAH+auwg=")</f>
        <v>#VALUE!</v>
      </c>
      <c r="J122" t="e">
        <f>AND(Sheet1!E1,"AAAAAH+auwk=")</f>
        <v>#VALUE!</v>
      </c>
      <c r="K122" t="e">
        <f>AND(Sheet1!G1,"AAAAAH+auwo=")</f>
        <v>#VALUE!</v>
      </c>
      <c r="L122" t="e">
        <f>AND(Sheet1!I1,"AAAAAH+auws=")</f>
        <v>#VALUE!</v>
      </c>
      <c r="M122" t="e">
        <f>AND(Sheet1!#REF!,"AAAAAH+auww=")</f>
        <v>#REF!</v>
      </c>
      <c r="N122" t="e">
        <f>AND(Sheet1!#REF!,"AAAAAH+auw0=")</f>
        <v>#REF!</v>
      </c>
      <c r="O122" t="e">
        <f>AND(Sheet1!#REF!,"AAAAAH+auw4=")</f>
        <v>#REF!</v>
      </c>
      <c r="P122" t="e">
        <f>AND(Sheet1!#REF!,"AAAAAH+auw8=")</f>
        <v>#REF!</v>
      </c>
      <c r="Q122" t="e">
        <f>AND(Sheet1!#REF!,"AAAAAH+auxA=")</f>
        <v>#REF!</v>
      </c>
      <c r="R122" t="e">
        <f>AND(Sheet1!#REF!,"AAAAAH+auxE=")</f>
        <v>#REF!</v>
      </c>
      <c r="S122" t="e">
        <f>AND(Sheet1!#REF!,"AAAAAH+auxI=")</f>
        <v>#REF!</v>
      </c>
      <c r="T122" t="e">
        <f>AND(Sheet1!#REF!,"AAAAAH+auxM=")</f>
        <v>#REF!</v>
      </c>
      <c r="U122" t="e">
        <f>AND(Sheet1!#REF!,"AAAAAH+auxQ=")</f>
        <v>#REF!</v>
      </c>
      <c r="V122" t="e">
        <f>AND(Sheet1!#REF!,"AAAAAH+auxU=")</f>
        <v>#REF!</v>
      </c>
      <c r="W122" t="e">
        <f>AND(Sheet1!#REF!,"AAAAAH+auxY=")</f>
        <v>#REF!</v>
      </c>
      <c r="X122">
        <f>IF(Sheet1!2:2,"AAAAAH+auxc=",0)</f>
        <v>0</v>
      </c>
      <c r="Y122" t="e">
        <f>AND(Sheet1!A2,"AAAAAH+auxg=")</f>
        <v>#VALUE!</v>
      </c>
      <c r="Z122" t="e">
        <f>AND(Sheet1!E2,"AAAAAH+auxk=")</f>
        <v>#VALUE!</v>
      </c>
      <c r="AA122" t="e">
        <f>AND(Sheet1!G2,"AAAAAH+auxo=")</f>
        <v>#VALUE!</v>
      </c>
      <c r="AB122" t="e">
        <f>AND(Sheet1!I2,"AAAAAH+auxs=")</f>
        <v>#VALUE!</v>
      </c>
      <c r="AC122" t="e">
        <f>AND(Sheet1!#REF!,"AAAAAH+auxw=")</f>
        <v>#REF!</v>
      </c>
      <c r="AD122" t="e">
        <f>AND(Sheet1!#REF!,"AAAAAH+aux0=")</f>
        <v>#REF!</v>
      </c>
      <c r="AE122" t="e">
        <f>AND(Sheet1!#REF!,"AAAAAH+aux4=")</f>
        <v>#REF!</v>
      </c>
      <c r="AF122" t="e">
        <f>AND(Sheet1!#REF!,"AAAAAH+aux8=")</f>
        <v>#REF!</v>
      </c>
      <c r="AG122" t="e">
        <f>AND(Sheet1!#REF!,"AAAAAH+auyA=")</f>
        <v>#REF!</v>
      </c>
      <c r="AH122" t="e">
        <f>AND(Sheet1!#REF!,"AAAAAH+auyE=")</f>
        <v>#REF!</v>
      </c>
      <c r="AI122" t="e">
        <f>AND(Sheet1!#REF!,"AAAAAH+auyI=")</f>
        <v>#REF!</v>
      </c>
      <c r="AJ122" t="e">
        <f>AND(Sheet1!#REF!,"AAAAAH+auyM=")</f>
        <v>#REF!</v>
      </c>
      <c r="AK122" t="e">
        <f>AND(Sheet1!#REF!,"AAAAAH+auyQ=")</f>
        <v>#REF!</v>
      </c>
      <c r="AL122" t="e">
        <f>AND(Sheet1!#REF!,"AAAAAH+auyU=")</f>
        <v>#REF!</v>
      </c>
      <c r="AM122" t="e">
        <f>AND(Sheet1!#REF!,"AAAAAH+auyY=")</f>
        <v>#REF!</v>
      </c>
      <c r="AN122">
        <f>IF(Sheet1!3:3,"AAAAAH+auyc=",0)</f>
        <v>0</v>
      </c>
      <c r="AO122" t="e">
        <f>AND(Sheet1!#REF!,"AAAAAH+auyg=")</f>
        <v>#REF!</v>
      </c>
      <c r="AP122" t="e">
        <f>AND(Sheet1!#REF!,"AAAAAH+auyk=")</f>
        <v>#REF!</v>
      </c>
      <c r="AQ122" t="e">
        <f>AND(Sheet1!#REF!,"AAAAAH+auyo=")</f>
        <v>#REF!</v>
      </c>
      <c r="AR122" t="e">
        <f>AND(Sheet1!#REF!,"AAAAAH+auys=")</f>
        <v>#REF!</v>
      </c>
      <c r="AS122" t="e">
        <f>AND(Sheet1!#REF!,"AAAAAH+auyw=")</f>
        <v>#REF!</v>
      </c>
      <c r="AT122" t="e">
        <f>AND(Sheet1!#REF!,"AAAAAH+auy0=")</f>
        <v>#REF!</v>
      </c>
      <c r="AU122" t="e">
        <f>AND(Sheet1!#REF!,"AAAAAH+auy4=")</f>
        <v>#REF!</v>
      </c>
      <c r="AV122" t="e">
        <f>AND(Sheet1!#REF!,"AAAAAH+auy8=")</f>
        <v>#REF!</v>
      </c>
      <c r="AW122" t="e">
        <f>AND(Sheet1!#REF!,"AAAAAH+auzA=")</f>
        <v>#REF!</v>
      </c>
      <c r="AX122" t="e">
        <f>AND(Sheet1!#REF!,"AAAAAH+auzE=")</f>
        <v>#REF!</v>
      </c>
      <c r="AY122" t="e">
        <f>AND(Sheet1!#REF!,"AAAAAH+auzI=")</f>
        <v>#REF!</v>
      </c>
      <c r="AZ122" t="e">
        <f>AND(Sheet1!#REF!,"AAAAAH+auzM=")</f>
        <v>#REF!</v>
      </c>
      <c r="BA122" t="e">
        <f>AND(Sheet1!#REF!,"AAAAAH+auzQ=")</f>
        <v>#REF!</v>
      </c>
      <c r="BB122" t="e">
        <f>AND(Sheet1!#REF!,"AAAAAH+auzU=")</f>
        <v>#REF!</v>
      </c>
      <c r="BC122" t="e">
        <f>AND(Sheet1!#REF!,"AAAAAH+auzY=")</f>
        <v>#REF!</v>
      </c>
      <c r="BD122" t="e">
        <f>IF(Sheet1!#REF!,"AAAAAH+auzc=",0)</f>
        <v>#REF!</v>
      </c>
      <c r="BE122" t="e">
        <f>AND(Sheet1!#REF!,"AAAAAH+auzg=")</f>
        <v>#REF!</v>
      </c>
      <c r="BF122" t="e">
        <f>AND(Sheet1!#REF!,"AAAAAH+auzk=")</f>
        <v>#REF!</v>
      </c>
      <c r="BG122" t="e">
        <f>AND(Sheet1!A3,"AAAAAH+auzo=")</f>
        <v>#VALUE!</v>
      </c>
      <c r="BH122" t="e">
        <f>AND(Sheet1!E3,"AAAAAH+auzs=")</f>
        <v>#VALUE!</v>
      </c>
      <c r="BI122" t="e">
        <f>AND(Sheet1!#REF!,"AAAAAH+auzw=")</f>
        <v>#REF!</v>
      </c>
      <c r="BJ122" t="e">
        <f>AND(Sheet1!#REF!,"AAAAAH+auz0=")</f>
        <v>#REF!</v>
      </c>
      <c r="BK122" t="e">
        <f>AND(Sheet1!G3,"AAAAAH+auz4=")</f>
        <v>#VALUE!</v>
      </c>
      <c r="BL122" t="e">
        <f>AND(Sheet1!#REF!,"AAAAAH+auz8=")</f>
        <v>#REF!</v>
      </c>
      <c r="BM122" t="e">
        <f>AND(Sheet1!I3,"AAAAAH+au0A=")</f>
        <v>#VALUE!</v>
      </c>
      <c r="BN122" t="e">
        <f>AND(Sheet1!#REF!,"AAAAAH+au0E=")</f>
        <v>#REF!</v>
      </c>
      <c r="BO122" t="e">
        <f>AND(Sheet1!#REF!,"AAAAAH+au0I=")</f>
        <v>#REF!</v>
      </c>
      <c r="BP122" t="e">
        <f>AND(Sheet1!#REF!,"AAAAAH+au0M=")</f>
        <v>#REF!</v>
      </c>
      <c r="BQ122" t="e">
        <f>AND(Sheet1!#REF!,"AAAAAH+au0Q=")</f>
        <v>#REF!</v>
      </c>
      <c r="BR122" t="e">
        <f>AND(Sheet1!#REF!,"AAAAAH+au0U=")</f>
        <v>#REF!</v>
      </c>
      <c r="BS122" t="e">
        <f>AND(Sheet1!#REF!,"AAAAAH+au0Y=")</f>
        <v>#REF!</v>
      </c>
      <c r="BT122" t="e">
        <f>IF(Sheet1!#REF!,"AAAAAH+au0c=",0)</f>
        <v>#REF!</v>
      </c>
      <c r="BU122" t="e">
        <f>AND(Sheet1!#REF!,"AAAAAH+au0g=")</f>
        <v>#REF!</v>
      </c>
      <c r="BV122" t="e">
        <f>AND(Sheet1!#REF!,"AAAAAH+au0k=")</f>
        <v>#REF!</v>
      </c>
      <c r="BW122" t="e">
        <f>AND(Sheet1!A22,"AAAAAH+au0o=")</f>
        <v>#VALUE!</v>
      </c>
      <c r="BX122" t="e">
        <f>AND(Sheet1!E22,"AAAAAH+au0s=")</f>
        <v>#VALUE!</v>
      </c>
      <c r="BY122" t="e">
        <f>AND(Sheet1!#REF!,"AAAAAH+au0w=")</f>
        <v>#REF!</v>
      </c>
      <c r="BZ122" t="e">
        <f>AND(Sheet1!#REF!,"AAAAAH+au00=")</f>
        <v>#REF!</v>
      </c>
      <c r="CA122" t="e">
        <f>AND(Sheet1!G22,"AAAAAH+au04=")</f>
        <v>#VALUE!</v>
      </c>
      <c r="CB122" t="e">
        <f>AND(Sheet1!#REF!,"AAAAAH+au08=")</f>
        <v>#REF!</v>
      </c>
      <c r="CC122" t="e">
        <f>AND(Sheet1!I22,"AAAAAH+au1A=")</f>
        <v>#VALUE!</v>
      </c>
      <c r="CD122" t="e">
        <f>AND(Sheet1!#REF!,"AAAAAH+au1E=")</f>
        <v>#REF!</v>
      </c>
      <c r="CE122" t="e">
        <f>AND(Sheet1!#REF!,"AAAAAH+au1I=")</f>
        <v>#REF!</v>
      </c>
      <c r="CF122" t="e">
        <f>AND(Sheet1!#REF!,"AAAAAH+au1M=")</f>
        <v>#REF!</v>
      </c>
      <c r="CG122" t="e">
        <f>AND(Sheet1!#REF!,"AAAAAH+au1Q=")</f>
        <v>#REF!</v>
      </c>
      <c r="CH122" t="e">
        <f>AND(Sheet1!#REF!,"AAAAAH+au1U=")</f>
        <v>#REF!</v>
      </c>
      <c r="CI122" t="e">
        <f>AND(Sheet1!#REF!,"AAAAAH+au1Y=")</f>
        <v>#REF!</v>
      </c>
      <c r="CJ122" t="e">
        <f>IF(Sheet1!#REF!,"AAAAAH+au1c=",0)</f>
        <v>#REF!</v>
      </c>
      <c r="CK122" t="e">
        <f>AND(Sheet1!#REF!,"AAAAAH+au1g=")</f>
        <v>#REF!</v>
      </c>
      <c r="CL122" t="e">
        <f>AND(Sheet1!#REF!,"AAAAAH+au1k=")</f>
        <v>#REF!</v>
      </c>
      <c r="CM122" t="e">
        <f>AND(Sheet1!A12,"AAAAAH+au1o=")</f>
        <v>#VALUE!</v>
      </c>
      <c r="CN122" t="e">
        <f>AND(Sheet1!E12,"AAAAAH+au1s=")</f>
        <v>#VALUE!</v>
      </c>
      <c r="CO122" t="e">
        <f>AND(Sheet1!#REF!,"AAAAAH+au1w=")</f>
        <v>#REF!</v>
      </c>
      <c r="CP122" t="e">
        <f>AND(Sheet1!#REF!,"AAAAAH+au10=")</f>
        <v>#REF!</v>
      </c>
      <c r="CQ122" t="e">
        <f>AND(Sheet1!G12,"AAAAAH+au14=")</f>
        <v>#VALUE!</v>
      </c>
      <c r="CR122" t="e">
        <f>AND(Sheet1!#REF!,"AAAAAH+au18=")</f>
        <v>#REF!</v>
      </c>
      <c r="CS122" t="e">
        <f>AND(Sheet1!I12,"AAAAAH+au2A=")</f>
        <v>#VALUE!</v>
      </c>
      <c r="CT122" t="e">
        <f>AND(Sheet1!#REF!,"AAAAAH+au2E=")</f>
        <v>#REF!</v>
      </c>
      <c r="CU122" t="e">
        <f>AND(Sheet1!#REF!,"AAAAAH+au2I=")</f>
        <v>#REF!</v>
      </c>
      <c r="CV122" t="e">
        <f>AND(Sheet1!#REF!,"AAAAAH+au2M=")</f>
        <v>#REF!</v>
      </c>
      <c r="CW122" t="e">
        <f>AND(Sheet1!#REF!,"AAAAAH+au2Q=")</f>
        <v>#REF!</v>
      </c>
      <c r="CX122" t="e">
        <f>AND(Sheet1!#REF!,"AAAAAH+au2U=")</f>
        <v>#REF!</v>
      </c>
      <c r="CY122" t="e">
        <f>AND(Sheet1!#REF!,"AAAAAH+au2Y=")</f>
        <v>#REF!</v>
      </c>
      <c r="CZ122" t="e">
        <f>IF(Sheet1!#REF!,"AAAAAH+au2c=",0)</f>
        <v>#REF!</v>
      </c>
      <c r="DA122" t="e">
        <f>AND(Sheet1!#REF!,"AAAAAH+au2g=")</f>
        <v>#REF!</v>
      </c>
      <c r="DB122" t="e">
        <f>AND(Sheet1!#REF!,"AAAAAH+au2k=")</f>
        <v>#REF!</v>
      </c>
      <c r="DC122" t="e">
        <f>AND(Sheet1!#REF!,"AAAAAH+au2o=")</f>
        <v>#REF!</v>
      </c>
      <c r="DD122" t="e">
        <f>AND(Sheet1!#REF!,"AAAAAH+au2s=")</f>
        <v>#REF!</v>
      </c>
      <c r="DE122" t="e">
        <f>AND(Sheet1!#REF!,"AAAAAH+au2w=")</f>
        <v>#REF!</v>
      </c>
      <c r="DF122" t="e">
        <f>AND(Sheet1!#REF!,"AAAAAH+au20=")</f>
        <v>#REF!</v>
      </c>
      <c r="DG122" t="e">
        <f>AND(Sheet1!#REF!,"AAAAAH+au24=")</f>
        <v>#REF!</v>
      </c>
      <c r="DH122" t="e">
        <f>AND(Sheet1!#REF!,"AAAAAH+au28=")</f>
        <v>#REF!</v>
      </c>
      <c r="DI122" t="e">
        <f>AND(Sheet1!#REF!,"AAAAAH+au3A=")</f>
        <v>#REF!</v>
      </c>
      <c r="DJ122" t="e">
        <f>AND(Sheet1!#REF!,"AAAAAH+au3E=")</f>
        <v>#REF!</v>
      </c>
      <c r="DK122" t="e">
        <f>AND(Sheet1!#REF!,"AAAAAH+au3I=")</f>
        <v>#REF!</v>
      </c>
      <c r="DL122" t="e">
        <f>AND(Sheet1!#REF!,"AAAAAH+au3M=")</f>
        <v>#REF!</v>
      </c>
      <c r="DM122" t="e">
        <f>AND(Sheet1!#REF!,"AAAAAH+au3Q=")</f>
        <v>#REF!</v>
      </c>
      <c r="DN122" t="e">
        <f>AND(Sheet1!#REF!,"AAAAAH+au3U=")</f>
        <v>#REF!</v>
      </c>
      <c r="DO122" t="e">
        <f>AND(Sheet1!#REF!,"AAAAAH+au3Y=")</f>
        <v>#REF!</v>
      </c>
      <c r="DP122" t="e">
        <f>IF(Sheet1!#REF!,"AAAAAH+au3c=",0)</f>
        <v>#REF!</v>
      </c>
      <c r="DQ122" t="e">
        <f>AND(Sheet1!#REF!,"AAAAAH+au3g=")</f>
        <v>#REF!</v>
      </c>
      <c r="DR122" t="e">
        <f>AND(Sheet1!#REF!,"AAAAAH+au3k=")</f>
        <v>#REF!</v>
      </c>
      <c r="DS122" t="e">
        <f>AND(Sheet1!#REF!,"AAAAAH+au3o=")</f>
        <v>#REF!</v>
      </c>
      <c r="DT122" t="e">
        <f>AND(Sheet1!#REF!,"AAAAAH+au3s=")</f>
        <v>#REF!</v>
      </c>
      <c r="DU122" t="e">
        <f>AND(Sheet1!#REF!,"AAAAAH+au3w=")</f>
        <v>#REF!</v>
      </c>
      <c r="DV122" t="e">
        <f>AND(Sheet1!#REF!,"AAAAAH+au30=")</f>
        <v>#REF!</v>
      </c>
      <c r="DW122" t="e">
        <f>AND(Sheet1!#REF!,"AAAAAH+au34=")</f>
        <v>#REF!</v>
      </c>
      <c r="DX122" t="e">
        <f>AND(Sheet1!#REF!,"AAAAAH+au38=")</f>
        <v>#REF!</v>
      </c>
      <c r="DY122" t="e">
        <f>AND(Sheet1!I18,"AAAAAH+au4A=")</f>
        <v>#VALUE!</v>
      </c>
      <c r="DZ122" t="e">
        <f>AND(Sheet1!#REF!,"AAAAAH+au4E=")</f>
        <v>#REF!</v>
      </c>
      <c r="EA122" t="e">
        <f>AND(Sheet1!#REF!,"AAAAAH+au4I=")</f>
        <v>#REF!</v>
      </c>
      <c r="EB122" t="e">
        <f>AND(Sheet1!#REF!,"AAAAAH+au4M=")</f>
        <v>#REF!</v>
      </c>
      <c r="EC122" t="e">
        <f>AND(Sheet1!#REF!,"AAAAAH+au4Q=")</f>
        <v>#REF!</v>
      </c>
      <c r="ED122" t="e">
        <f>AND(Sheet1!#REF!,"AAAAAH+au4U=")</f>
        <v>#REF!</v>
      </c>
      <c r="EE122" t="e">
        <f>AND(Sheet1!#REF!,"AAAAAH+au4Y=")</f>
        <v>#REF!</v>
      </c>
      <c r="EF122" t="e">
        <f>IF(Sheet1!#REF!,"AAAAAH+au4c=",0)</f>
        <v>#REF!</v>
      </c>
      <c r="EG122" t="e">
        <f>AND(Sheet1!#REF!,"AAAAAH+au4g=")</f>
        <v>#REF!</v>
      </c>
      <c r="EH122" t="e">
        <f>AND(Sheet1!#REF!,"AAAAAH+au4k=")</f>
        <v>#REF!</v>
      </c>
      <c r="EI122" t="e">
        <f>AND(Sheet1!A37,"AAAAAH+au4o=")</f>
        <v>#VALUE!</v>
      </c>
      <c r="EJ122" t="e">
        <f>AND(Sheet1!E37,"AAAAAH+au4s=")</f>
        <v>#VALUE!</v>
      </c>
      <c r="EK122" t="e">
        <f>AND(Sheet1!#REF!,"AAAAAH+au4w=")</f>
        <v>#REF!</v>
      </c>
      <c r="EL122" t="e">
        <f>AND(Sheet1!#REF!,"AAAAAH+au40=")</f>
        <v>#REF!</v>
      </c>
      <c r="EM122" t="e">
        <f>AND(Sheet1!G37,"AAAAAH+au44=")</f>
        <v>#VALUE!</v>
      </c>
      <c r="EN122" t="e">
        <f>AND(Sheet1!#REF!,"AAAAAH+au48=")</f>
        <v>#REF!</v>
      </c>
      <c r="EO122" t="e">
        <f>AND(Sheet1!I37,"AAAAAH+au5A=")</f>
        <v>#VALUE!</v>
      </c>
      <c r="EP122" t="e">
        <f>AND(Sheet1!#REF!,"AAAAAH+au5E=")</f>
        <v>#REF!</v>
      </c>
      <c r="EQ122" t="e">
        <f>AND(Sheet1!#REF!,"AAAAAH+au5I=")</f>
        <v>#REF!</v>
      </c>
      <c r="ER122" t="e">
        <f>AND(Sheet1!#REF!,"AAAAAH+au5M=")</f>
        <v>#REF!</v>
      </c>
      <c r="ES122" t="e">
        <f>AND(Sheet1!#REF!,"AAAAAH+au5Q=")</f>
        <v>#REF!</v>
      </c>
      <c r="ET122" t="e">
        <f>AND(Sheet1!#REF!,"AAAAAH+au5U=")</f>
        <v>#REF!</v>
      </c>
      <c r="EU122" t="e">
        <f>AND(Sheet1!#REF!,"AAAAAH+au5Y=")</f>
        <v>#REF!</v>
      </c>
      <c r="EV122" t="e">
        <f>IF(Sheet1!#REF!,"AAAAAH+au5c=",0)</f>
        <v>#REF!</v>
      </c>
      <c r="EW122" t="e">
        <f>AND(Sheet1!#REF!,"AAAAAH+au5g=")</f>
        <v>#REF!</v>
      </c>
      <c r="EX122" t="e">
        <f>AND(Sheet1!#REF!,"AAAAAH+au5k=")</f>
        <v>#REF!</v>
      </c>
      <c r="EY122" t="e">
        <f>AND(Sheet1!#REF!,"AAAAAH+au5o=")</f>
        <v>#REF!</v>
      </c>
      <c r="EZ122" t="e">
        <f>AND(Sheet1!#REF!,"AAAAAH+au5s=")</f>
        <v>#REF!</v>
      </c>
      <c r="FA122" t="e">
        <f>AND(Sheet1!#REF!,"AAAAAH+au5w=")</f>
        <v>#REF!</v>
      </c>
      <c r="FB122" t="e">
        <f>AND(Sheet1!#REF!,"AAAAAH+au50=")</f>
        <v>#REF!</v>
      </c>
      <c r="FC122" t="e">
        <f>AND(Sheet1!#REF!,"AAAAAH+au54=")</f>
        <v>#REF!</v>
      </c>
      <c r="FD122" t="e">
        <f>AND(Sheet1!#REF!,"AAAAAH+au58=")</f>
        <v>#REF!</v>
      </c>
      <c r="FE122" t="e">
        <f>AND(Sheet1!#REF!,"AAAAAH+au6A=")</f>
        <v>#REF!</v>
      </c>
      <c r="FF122" t="e">
        <f>AND(Sheet1!#REF!,"AAAAAH+au6E=")</f>
        <v>#REF!</v>
      </c>
      <c r="FG122" t="e">
        <f>AND(Sheet1!#REF!,"AAAAAH+au6I=")</f>
        <v>#REF!</v>
      </c>
      <c r="FH122" t="e">
        <f>AND(Sheet1!#REF!,"AAAAAH+au6M=")</f>
        <v>#REF!</v>
      </c>
      <c r="FI122" t="e">
        <f>AND(Sheet1!#REF!,"AAAAAH+au6Q=")</f>
        <v>#REF!</v>
      </c>
      <c r="FJ122" t="e">
        <f>AND(Sheet1!#REF!,"AAAAAH+au6U=")</f>
        <v>#REF!</v>
      </c>
      <c r="FK122" t="e">
        <f>AND(Sheet1!#REF!,"AAAAAH+au6Y=")</f>
        <v>#REF!</v>
      </c>
      <c r="FL122" t="e">
        <f>IF(Sheet1!#REF!,"AAAAAH+au6c=",0)</f>
        <v>#REF!</v>
      </c>
      <c r="FM122" t="e">
        <f>AND(Sheet1!#REF!,"AAAAAH+au6g=")</f>
        <v>#REF!</v>
      </c>
      <c r="FN122" t="e">
        <f>AND(Sheet1!#REF!,"AAAAAH+au6k=")</f>
        <v>#REF!</v>
      </c>
      <c r="FO122" t="e">
        <f>AND(Sheet1!#REF!,"AAAAAH+au6o=")</f>
        <v>#REF!</v>
      </c>
      <c r="FP122" t="e">
        <f>AND(Sheet1!#REF!,"AAAAAH+au6s=")</f>
        <v>#REF!</v>
      </c>
      <c r="FQ122" t="e">
        <f>AND(Sheet1!#REF!,"AAAAAH+au6w=")</f>
        <v>#REF!</v>
      </c>
      <c r="FR122" t="e">
        <f>AND(Sheet1!#REF!,"AAAAAH+au60=")</f>
        <v>#REF!</v>
      </c>
      <c r="FS122" t="e">
        <f>AND(Sheet1!#REF!,"AAAAAH+au64=")</f>
        <v>#REF!</v>
      </c>
      <c r="FT122" t="e">
        <f>AND(Sheet1!#REF!,"AAAAAH+au68=")</f>
        <v>#REF!</v>
      </c>
      <c r="FU122" t="e">
        <f>AND(Sheet1!#REF!,"AAAAAH+au7A=")</f>
        <v>#REF!</v>
      </c>
      <c r="FV122" t="e">
        <f>AND(Sheet1!#REF!,"AAAAAH+au7E=")</f>
        <v>#REF!</v>
      </c>
      <c r="FW122" t="e">
        <f>AND(Sheet1!#REF!,"AAAAAH+au7I=")</f>
        <v>#REF!</v>
      </c>
      <c r="FX122" t="e">
        <f>AND(Sheet1!#REF!,"AAAAAH+au7M=")</f>
        <v>#REF!</v>
      </c>
      <c r="FY122" t="e">
        <f>AND(Sheet1!#REF!,"AAAAAH+au7Q=")</f>
        <v>#REF!</v>
      </c>
      <c r="FZ122" t="e">
        <f>AND(Sheet1!#REF!,"AAAAAH+au7U=")</f>
        <v>#REF!</v>
      </c>
      <c r="GA122" t="e">
        <f>AND(Sheet1!#REF!,"AAAAAH+au7Y=")</f>
        <v>#REF!</v>
      </c>
      <c r="GB122" t="e">
        <f>IF(Sheet1!#REF!,"AAAAAH+au7c=",0)</f>
        <v>#REF!</v>
      </c>
      <c r="GC122" t="e">
        <f>AND(Sheet1!#REF!,"AAAAAH+au7g=")</f>
        <v>#REF!</v>
      </c>
      <c r="GD122" t="e">
        <f>AND(Sheet1!#REF!,"AAAAAH+au7k=")</f>
        <v>#REF!</v>
      </c>
      <c r="GE122" t="e">
        <f>AND(Sheet1!#REF!,"AAAAAH+au7o=")</f>
        <v>#REF!</v>
      </c>
      <c r="GF122" t="e">
        <f>AND(Sheet1!#REF!,"AAAAAH+au7s=")</f>
        <v>#REF!</v>
      </c>
      <c r="GG122" t="e">
        <f>AND(Sheet1!#REF!,"AAAAAH+au7w=")</f>
        <v>#REF!</v>
      </c>
      <c r="GH122" t="e">
        <f>AND(Sheet1!#REF!,"AAAAAH+au70=")</f>
        <v>#REF!</v>
      </c>
      <c r="GI122" t="e">
        <f>AND(Sheet1!#REF!,"AAAAAH+au74=")</f>
        <v>#REF!</v>
      </c>
      <c r="GJ122" t="e">
        <f>AND(Sheet1!#REF!,"AAAAAH+au78=")</f>
        <v>#REF!</v>
      </c>
      <c r="GK122" t="e">
        <f>AND(Sheet1!#REF!,"AAAAAH+au8A=")</f>
        <v>#REF!</v>
      </c>
      <c r="GL122" t="e">
        <f>AND(Sheet1!#REF!,"AAAAAH+au8E=")</f>
        <v>#REF!</v>
      </c>
      <c r="GM122" t="e">
        <f>AND(Sheet1!#REF!,"AAAAAH+au8I=")</f>
        <v>#REF!</v>
      </c>
      <c r="GN122" t="e">
        <f>AND(Sheet1!#REF!,"AAAAAH+au8M=")</f>
        <v>#REF!</v>
      </c>
      <c r="GO122" t="e">
        <f>AND(Sheet1!#REF!,"AAAAAH+au8Q=")</f>
        <v>#REF!</v>
      </c>
      <c r="GP122" t="e">
        <f>AND(Sheet1!#REF!,"AAAAAH+au8U=")</f>
        <v>#REF!</v>
      </c>
      <c r="GQ122" t="e">
        <f>AND(Sheet1!#REF!,"AAAAAH+au8Y=")</f>
        <v>#REF!</v>
      </c>
      <c r="GR122" t="e">
        <f>IF(Sheet1!#REF!,"AAAAAH+au8c=",0)</f>
        <v>#REF!</v>
      </c>
      <c r="GS122" t="e">
        <f>AND(Sheet1!#REF!,"AAAAAH+au8g=")</f>
        <v>#REF!</v>
      </c>
      <c r="GT122" t="e">
        <f>AND(Sheet1!#REF!,"AAAAAH+au8k=")</f>
        <v>#REF!</v>
      </c>
      <c r="GU122" t="e">
        <f>AND(Sheet1!A8,"AAAAAH+au8o=")</f>
        <v>#VALUE!</v>
      </c>
      <c r="GV122" t="e">
        <f>AND(Sheet1!E8,"AAAAAH+au8s=")</f>
        <v>#VALUE!</v>
      </c>
      <c r="GW122" t="e">
        <f>AND(Sheet1!#REF!,"AAAAAH+au8w=")</f>
        <v>#REF!</v>
      </c>
      <c r="GX122" t="e">
        <f>AND(Sheet1!#REF!,"AAAAAH+au80=")</f>
        <v>#REF!</v>
      </c>
      <c r="GY122" t="e">
        <f>AND(Sheet1!G8,"AAAAAH+au84=")</f>
        <v>#VALUE!</v>
      </c>
      <c r="GZ122" t="e">
        <f>AND(Sheet1!#REF!,"AAAAAH+au88=")</f>
        <v>#REF!</v>
      </c>
      <c r="HA122" t="e">
        <f>AND(Sheet1!I8,"AAAAAH+au9A=")</f>
        <v>#VALUE!</v>
      </c>
      <c r="HB122" t="e">
        <f>AND(Sheet1!#REF!,"AAAAAH+au9E=")</f>
        <v>#REF!</v>
      </c>
      <c r="HC122" t="e">
        <f>AND(Sheet1!#REF!,"AAAAAH+au9I=")</f>
        <v>#REF!</v>
      </c>
      <c r="HD122" t="e">
        <f>AND(Sheet1!#REF!,"AAAAAH+au9M=")</f>
        <v>#REF!</v>
      </c>
      <c r="HE122" t="e">
        <f>AND(Sheet1!#REF!,"AAAAAH+au9Q=")</f>
        <v>#REF!</v>
      </c>
      <c r="HF122" t="e">
        <f>AND(Sheet1!#REF!,"AAAAAH+au9U=")</f>
        <v>#REF!</v>
      </c>
      <c r="HG122" t="e">
        <f>AND(Sheet1!#REF!,"AAAAAH+au9Y=")</f>
        <v>#REF!</v>
      </c>
      <c r="HH122" t="e">
        <f>IF(Sheet1!#REF!,"AAAAAH+au9c=",0)</f>
        <v>#REF!</v>
      </c>
      <c r="HI122" t="e">
        <f>AND(Sheet1!#REF!,"AAAAAH+au9g=")</f>
        <v>#REF!</v>
      </c>
      <c r="HJ122" t="e">
        <f>AND(Sheet1!#REF!,"AAAAAH+au9k=")</f>
        <v>#REF!</v>
      </c>
      <c r="HK122" t="e">
        <f>AND(Sheet1!#REF!,"AAAAAH+au9o=")</f>
        <v>#REF!</v>
      </c>
      <c r="HL122" t="e">
        <f>AND(Sheet1!#REF!,"AAAAAH+au9s=")</f>
        <v>#REF!</v>
      </c>
      <c r="HM122" t="e">
        <f>AND(Sheet1!#REF!,"AAAAAH+au9w=")</f>
        <v>#REF!</v>
      </c>
      <c r="HN122" t="e">
        <f>AND(Sheet1!#REF!,"AAAAAH+au90=")</f>
        <v>#REF!</v>
      </c>
      <c r="HO122" t="e">
        <f>AND(Sheet1!#REF!,"AAAAAH+au94=")</f>
        <v>#REF!</v>
      </c>
      <c r="HP122" t="e">
        <f>AND(Sheet1!#REF!,"AAAAAH+au98=")</f>
        <v>#REF!</v>
      </c>
      <c r="HQ122" t="e">
        <f>AND(Sheet1!#REF!,"AAAAAH+au+A=")</f>
        <v>#REF!</v>
      </c>
      <c r="HR122" t="e">
        <f>AND(Sheet1!#REF!,"AAAAAH+au+E=")</f>
        <v>#REF!</v>
      </c>
      <c r="HS122" t="e">
        <f>AND(Sheet1!#REF!,"AAAAAH+au+I=")</f>
        <v>#REF!</v>
      </c>
      <c r="HT122" t="e">
        <f>AND(Sheet1!#REF!,"AAAAAH+au+M=")</f>
        <v>#REF!</v>
      </c>
      <c r="HU122" t="e">
        <f>AND(Sheet1!#REF!,"AAAAAH+au+Q=")</f>
        <v>#REF!</v>
      </c>
      <c r="HV122" t="e">
        <f>AND(Sheet1!#REF!,"AAAAAH+au+U=")</f>
        <v>#REF!</v>
      </c>
      <c r="HW122" t="e">
        <f>AND(Sheet1!#REF!,"AAAAAH+au+Y=")</f>
        <v>#REF!</v>
      </c>
      <c r="HX122" t="e">
        <f>IF(Sheet1!#REF!,"AAAAAH+au+c=",0)</f>
        <v>#REF!</v>
      </c>
      <c r="HY122" t="e">
        <f>AND(Sheet1!#REF!,"AAAAAH+au+g=")</f>
        <v>#REF!</v>
      </c>
      <c r="HZ122" t="e">
        <f>AND(Sheet1!#REF!,"AAAAAH+au+k=")</f>
        <v>#REF!</v>
      </c>
      <c r="IA122" t="e">
        <f>AND(Sheet1!#REF!,"AAAAAH+au+o=")</f>
        <v>#REF!</v>
      </c>
      <c r="IB122" t="e">
        <f>AND(Sheet1!E23,"AAAAAH+au+s=")</f>
        <v>#VALUE!</v>
      </c>
      <c r="IC122" t="e">
        <f>AND(Sheet1!#REF!,"AAAAAH+au+w=")</f>
        <v>#REF!</v>
      </c>
      <c r="ID122" t="e">
        <f>AND(Sheet1!#REF!,"AAAAAH+au+0=")</f>
        <v>#REF!</v>
      </c>
      <c r="IE122" t="e">
        <f>AND(Sheet1!G23,"AAAAAH+au+4=")</f>
        <v>#VALUE!</v>
      </c>
      <c r="IF122" t="e">
        <f>AND(Sheet1!#REF!,"AAAAAH+au+8=")</f>
        <v>#REF!</v>
      </c>
      <c r="IG122" t="e">
        <f>AND(Sheet1!I23,"AAAAAH+au/A=")</f>
        <v>#VALUE!</v>
      </c>
      <c r="IH122" t="e">
        <f>AND(Sheet1!#REF!,"AAAAAH+au/E=")</f>
        <v>#REF!</v>
      </c>
      <c r="II122" t="e">
        <f>AND(Sheet1!#REF!,"AAAAAH+au/I=")</f>
        <v>#REF!</v>
      </c>
      <c r="IJ122" t="e">
        <f>AND(Sheet1!#REF!,"AAAAAH+au/M=")</f>
        <v>#REF!</v>
      </c>
      <c r="IK122" t="e">
        <f>AND(Sheet1!#REF!,"AAAAAH+au/Q=")</f>
        <v>#REF!</v>
      </c>
      <c r="IL122" t="e">
        <f>AND(Sheet1!#REF!,"AAAAAH+au/U=")</f>
        <v>#REF!</v>
      </c>
      <c r="IM122" t="e">
        <f>AND(Sheet1!#REF!,"AAAAAH+au/Y=")</f>
        <v>#REF!</v>
      </c>
      <c r="IN122" t="e">
        <f>IF(Sheet1!#REF!,"AAAAAH+au/c=",0)</f>
        <v>#REF!</v>
      </c>
      <c r="IO122" t="e">
        <f>AND(Sheet1!#REF!,"AAAAAH+au/g=")</f>
        <v>#REF!</v>
      </c>
      <c r="IP122" t="e">
        <f>AND(Sheet1!#REF!,"AAAAAH+au/k=")</f>
        <v>#REF!</v>
      </c>
      <c r="IQ122" t="e">
        <f>AND(Sheet1!#REF!,"AAAAAH+au/o=")</f>
        <v>#REF!</v>
      </c>
      <c r="IR122" t="e">
        <f>AND(Sheet1!#REF!,"AAAAAH+au/s=")</f>
        <v>#REF!</v>
      </c>
      <c r="IS122" t="e">
        <f>AND(Sheet1!#REF!,"AAAAAH+au/w=")</f>
        <v>#REF!</v>
      </c>
      <c r="IT122" t="e">
        <f>AND(Sheet1!#REF!,"AAAAAH+au/0=")</f>
        <v>#REF!</v>
      </c>
      <c r="IU122" t="e">
        <f>AND(Sheet1!#REF!,"AAAAAH+au/4=")</f>
        <v>#REF!</v>
      </c>
      <c r="IV122" t="e">
        <f>AND(Sheet1!#REF!,"AAAAAH+au/8=")</f>
        <v>#REF!</v>
      </c>
    </row>
    <row r="123" spans="1:256" x14ac:dyDescent="0.15">
      <c r="A123" t="e">
        <f>AND(Sheet1!#REF!,"AAAAAHf/fwA=")</f>
        <v>#REF!</v>
      </c>
      <c r="B123" t="e">
        <f>AND(Sheet1!#REF!,"AAAAAHf/fwE=")</f>
        <v>#REF!</v>
      </c>
      <c r="C123" t="e">
        <f>AND(Sheet1!#REF!,"AAAAAHf/fwI=")</f>
        <v>#REF!</v>
      </c>
      <c r="D123" t="e">
        <f>AND(Sheet1!#REF!,"AAAAAHf/fwM=")</f>
        <v>#REF!</v>
      </c>
      <c r="E123" t="e">
        <f>AND(Sheet1!#REF!,"AAAAAHf/fwQ=")</f>
        <v>#REF!</v>
      </c>
      <c r="F123" t="e">
        <f>AND(Sheet1!#REF!,"AAAAAHf/fwU=")</f>
        <v>#REF!</v>
      </c>
      <c r="G123" t="e">
        <f>AND(Sheet1!#REF!,"AAAAAHf/fwY=")</f>
        <v>#REF!</v>
      </c>
      <c r="H123" t="e">
        <f>IF(Sheet1!#REF!,"AAAAAHf/fwc=",0)</f>
        <v>#REF!</v>
      </c>
      <c r="I123" t="e">
        <f>AND(Sheet1!#REF!,"AAAAAHf/fwg=")</f>
        <v>#REF!</v>
      </c>
      <c r="J123" t="e">
        <f>AND(Sheet1!#REF!,"AAAAAHf/fwk=")</f>
        <v>#REF!</v>
      </c>
      <c r="K123" t="e">
        <f>AND(Sheet1!A13,"AAAAAHf/fwo=")</f>
        <v>#VALUE!</v>
      </c>
      <c r="L123" t="e">
        <f>AND(Sheet1!E13,"AAAAAHf/fws=")</f>
        <v>#VALUE!</v>
      </c>
      <c r="M123" t="e">
        <f>AND(Sheet1!#REF!,"AAAAAHf/fww=")</f>
        <v>#REF!</v>
      </c>
      <c r="N123" t="e">
        <f>AND(Sheet1!#REF!,"AAAAAHf/fw0=")</f>
        <v>#REF!</v>
      </c>
      <c r="O123" t="e">
        <f>AND(Sheet1!G13,"AAAAAHf/fw4=")</f>
        <v>#VALUE!</v>
      </c>
      <c r="P123" t="e">
        <f>AND(Sheet1!#REF!,"AAAAAHf/fw8=")</f>
        <v>#REF!</v>
      </c>
      <c r="Q123" t="e">
        <f>AND(Sheet1!I13,"AAAAAHf/fxA=")</f>
        <v>#VALUE!</v>
      </c>
      <c r="R123" t="e">
        <f>AND(Sheet1!#REF!,"AAAAAHf/fxE=")</f>
        <v>#REF!</v>
      </c>
      <c r="S123" t="e">
        <f>AND(Sheet1!#REF!,"AAAAAHf/fxI=")</f>
        <v>#REF!</v>
      </c>
      <c r="T123" t="e">
        <f>AND(Sheet1!#REF!,"AAAAAHf/fxM=")</f>
        <v>#REF!</v>
      </c>
      <c r="U123" t="e">
        <f>AND(Sheet1!#REF!,"AAAAAHf/fxQ=")</f>
        <v>#REF!</v>
      </c>
      <c r="V123" t="e">
        <f>AND(Sheet1!#REF!,"AAAAAHf/fxU=")</f>
        <v>#REF!</v>
      </c>
      <c r="W123" t="e">
        <f>AND(Sheet1!#REF!,"AAAAAHf/fxY=")</f>
        <v>#REF!</v>
      </c>
      <c r="X123" t="e">
        <f>IF(Sheet1!#REF!,"AAAAAHf/fxc=",0)</f>
        <v>#REF!</v>
      </c>
      <c r="Y123" t="e">
        <f>AND(Sheet1!#REF!,"AAAAAHf/fxg=")</f>
        <v>#REF!</v>
      </c>
      <c r="Z123" t="e">
        <f>AND(Sheet1!#REF!,"AAAAAHf/fxk=")</f>
        <v>#REF!</v>
      </c>
      <c r="AA123" t="e">
        <f>AND(Sheet1!A39,"AAAAAHf/fxo=")</f>
        <v>#VALUE!</v>
      </c>
      <c r="AB123" t="e">
        <f>AND(Sheet1!E39,"AAAAAHf/fxs=")</f>
        <v>#VALUE!</v>
      </c>
      <c r="AC123" t="e">
        <f>AND(Sheet1!#REF!,"AAAAAHf/fxw=")</f>
        <v>#REF!</v>
      </c>
      <c r="AD123" t="e">
        <f>AND(Sheet1!#REF!,"AAAAAHf/fx0=")</f>
        <v>#REF!</v>
      </c>
      <c r="AE123" t="e">
        <f>AND(Sheet1!G39,"AAAAAHf/fx4=")</f>
        <v>#VALUE!</v>
      </c>
      <c r="AF123" t="e">
        <f>AND(Sheet1!#REF!,"AAAAAHf/fx8=")</f>
        <v>#REF!</v>
      </c>
      <c r="AG123" t="e">
        <f>AND(Sheet1!I39,"AAAAAHf/fyA=")</f>
        <v>#VALUE!</v>
      </c>
      <c r="AH123" t="e">
        <f>AND(Sheet1!#REF!,"AAAAAHf/fyE=")</f>
        <v>#REF!</v>
      </c>
      <c r="AI123" t="e">
        <f>AND(Sheet1!#REF!,"AAAAAHf/fyI=")</f>
        <v>#REF!</v>
      </c>
      <c r="AJ123" t="e">
        <f>AND(Sheet1!#REF!,"AAAAAHf/fyM=")</f>
        <v>#REF!</v>
      </c>
      <c r="AK123" t="e">
        <f>AND(Sheet1!#REF!,"AAAAAHf/fyQ=")</f>
        <v>#REF!</v>
      </c>
      <c r="AL123" t="e">
        <f>AND(Sheet1!#REF!,"AAAAAHf/fyU=")</f>
        <v>#REF!</v>
      </c>
      <c r="AM123" t="e">
        <f>AND(Sheet1!#REF!,"AAAAAHf/fyY=")</f>
        <v>#REF!</v>
      </c>
      <c r="AN123" t="e">
        <f>IF(Sheet1!#REF!,"AAAAAHf/fyc=",0)</f>
        <v>#REF!</v>
      </c>
      <c r="AO123" t="e">
        <f>AND(Sheet1!#REF!,"AAAAAHf/fyg=")</f>
        <v>#REF!</v>
      </c>
      <c r="AP123" t="e">
        <f>AND(Sheet1!#REF!,"AAAAAHf/fyk=")</f>
        <v>#REF!</v>
      </c>
      <c r="AQ123" t="e">
        <f>AND(Sheet1!#REF!,"AAAAAHf/fyo=")</f>
        <v>#REF!</v>
      </c>
      <c r="AR123" t="e">
        <f>AND(Sheet1!#REF!,"AAAAAHf/fys=")</f>
        <v>#REF!</v>
      </c>
      <c r="AS123" t="e">
        <f>AND(Sheet1!#REF!,"AAAAAHf/fyw=")</f>
        <v>#REF!</v>
      </c>
      <c r="AT123" t="e">
        <f>AND(Sheet1!#REF!,"AAAAAHf/fy0=")</f>
        <v>#REF!</v>
      </c>
      <c r="AU123" t="e">
        <f>AND(Sheet1!#REF!,"AAAAAHf/fy4=")</f>
        <v>#REF!</v>
      </c>
      <c r="AV123" t="e">
        <f>AND(Sheet1!#REF!,"AAAAAHf/fy8=")</f>
        <v>#REF!</v>
      </c>
      <c r="AW123" t="e">
        <f>AND(Sheet1!#REF!,"AAAAAHf/fzA=")</f>
        <v>#REF!</v>
      </c>
      <c r="AX123" t="e">
        <f>AND(Sheet1!#REF!,"AAAAAHf/fzE=")</f>
        <v>#REF!</v>
      </c>
      <c r="AY123" t="e">
        <f>AND(Sheet1!#REF!,"AAAAAHf/fzI=")</f>
        <v>#REF!</v>
      </c>
      <c r="AZ123" t="e">
        <f>AND(Sheet1!#REF!,"AAAAAHf/fzM=")</f>
        <v>#REF!</v>
      </c>
      <c r="BA123" t="e">
        <f>AND(Sheet1!#REF!,"AAAAAHf/fzQ=")</f>
        <v>#REF!</v>
      </c>
      <c r="BB123" t="e">
        <f>AND(Sheet1!#REF!,"AAAAAHf/fzU=")</f>
        <v>#REF!</v>
      </c>
      <c r="BC123" t="e">
        <f>AND(Sheet1!#REF!,"AAAAAHf/fzY=")</f>
        <v>#REF!</v>
      </c>
      <c r="BD123" t="e">
        <f>IF(Sheet1!#REF!,"AAAAAHf/fzc=",0)</f>
        <v>#REF!</v>
      </c>
      <c r="BE123" t="e">
        <f>AND(Sheet1!#REF!,"AAAAAHf/fzg=")</f>
        <v>#REF!</v>
      </c>
      <c r="BF123" t="e">
        <f>AND(Sheet1!#REF!,"AAAAAHf/fzk=")</f>
        <v>#REF!</v>
      </c>
      <c r="BG123" t="e">
        <f>AND(Sheet1!#REF!,"AAAAAHf/fzo=")</f>
        <v>#REF!</v>
      </c>
      <c r="BH123" t="e">
        <f>AND(Sheet1!#REF!,"AAAAAHf/fzs=")</f>
        <v>#REF!</v>
      </c>
      <c r="BI123" t="e">
        <f>AND(Sheet1!#REF!,"AAAAAHf/fzw=")</f>
        <v>#REF!</v>
      </c>
      <c r="BJ123" t="e">
        <f>AND(Sheet1!#REF!,"AAAAAHf/fz0=")</f>
        <v>#REF!</v>
      </c>
      <c r="BK123" t="e">
        <f>AND(Sheet1!#REF!,"AAAAAHf/fz4=")</f>
        <v>#REF!</v>
      </c>
      <c r="BL123" t="e">
        <f>AND(Sheet1!#REF!,"AAAAAHf/fz8=")</f>
        <v>#REF!</v>
      </c>
      <c r="BM123" t="e">
        <f>AND(Sheet1!#REF!,"AAAAAHf/f0A=")</f>
        <v>#REF!</v>
      </c>
      <c r="BN123" t="e">
        <f>AND(Sheet1!#REF!,"AAAAAHf/f0E=")</f>
        <v>#REF!</v>
      </c>
      <c r="BO123" t="e">
        <f>AND(Sheet1!#REF!,"AAAAAHf/f0I=")</f>
        <v>#REF!</v>
      </c>
      <c r="BP123" t="e">
        <f>AND(Sheet1!#REF!,"AAAAAHf/f0M=")</f>
        <v>#REF!</v>
      </c>
      <c r="BQ123" t="e">
        <f>AND(Sheet1!#REF!,"AAAAAHf/f0Q=")</f>
        <v>#REF!</v>
      </c>
      <c r="BR123" t="e">
        <f>AND(Sheet1!#REF!,"AAAAAHf/f0U=")</f>
        <v>#REF!</v>
      </c>
      <c r="BS123" t="e">
        <f>AND(Sheet1!#REF!,"AAAAAHf/f0Y=")</f>
        <v>#REF!</v>
      </c>
      <c r="BT123" t="e">
        <f>IF(Sheet1!#REF!,"AAAAAHf/f0c=",0)</f>
        <v>#REF!</v>
      </c>
      <c r="BU123" t="e">
        <f>AND(Sheet1!#REF!,"AAAAAHf/f0g=")</f>
        <v>#REF!</v>
      </c>
      <c r="BV123" t="e">
        <f>AND(Sheet1!#REF!,"AAAAAHf/f0k=")</f>
        <v>#REF!</v>
      </c>
      <c r="BW123" t="e">
        <f>AND(Sheet1!A24,"AAAAAHf/f0o=")</f>
        <v>#VALUE!</v>
      </c>
      <c r="BX123" t="e">
        <f>AND(Sheet1!E24,"AAAAAHf/f0s=")</f>
        <v>#VALUE!</v>
      </c>
      <c r="BY123" t="e">
        <f>AND(Sheet1!#REF!,"AAAAAHf/f0w=")</f>
        <v>#REF!</v>
      </c>
      <c r="BZ123" t="e">
        <f>AND(Sheet1!#REF!,"AAAAAHf/f00=")</f>
        <v>#REF!</v>
      </c>
      <c r="CA123" t="e">
        <f>AND(Sheet1!G24,"AAAAAHf/f04=")</f>
        <v>#VALUE!</v>
      </c>
      <c r="CB123" t="e">
        <f>AND(Sheet1!#REF!,"AAAAAHf/f08=")</f>
        <v>#REF!</v>
      </c>
      <c r="CC123" t="e">
        <f>AND(Sheet1!I24,"AAAAAHf/f1A=")</f>
        <v>#VALUE!</v>
      </c>
      <c r="CD123" t="e">
        <f>AND(Sheet1!#REF!,"AAAAAHf/f1E=")</f>
        <v>#REF!</v>
      </c>
      <c r="CE123" t="e">
        <f>AND(Sheet1!#REF!,"AAAAAHf/f1I=")</f>
        <v>#REF!</v>
      </c>
      <c r="CF123" t="e">
        <f>AND(Sheet1!#REF!,"AAAAAHf/f1M=")</f>
        <v>#REF!</v>
      </c>
      <c r="CG123" t="e">
        <f>AND(Sheet1!#REF!,"AAAAAHf/f1Q=")</f>
        <v>#REF!</v>
      </c>
      <c r="CH123" t="e">
        <f>AND(Sheet1!#REF!,"AAAAAHf/f1U=")</f>
        <v>#REF!</v>
      </c>
      <c r="CI123" t="e">
        <f>AND(Sheet1!#REF!,"AAAAAHf/f1Y=")</f>
        <v>#REF!</v>
      </c>
      <c r="CJ123" t="e">
        <f>IF(Sheet1!#REF!,"AAAAAHf/f1c=",0)</f>
        <v>#REF!</v>
      </c>
      <c r="CK123" t="e">
        <f>AND(Sheet1!#REF!,"AAAAAHf/f1g=")</f>
        <v>#REF!</v>
      </c>
      <c r="CL123" t="e">
        <f>AND(Sheet1!#REF!,"AAAAAHf/f1k=")</f>
        <v>#REF!</v>
      </c>
      <c r="CM123" t="e">
        <f>AND(Sheet1!A20,"AAAAAHf/f1o=")</f>
        <v>#VALUE!</v>
      </c>
      <c r="CN123" t="e">
        <f>AND(Sheet1!E20,"AAAAAHf/f1s=")</f>
        <v>#VALUE!</v>
      </c>
      <c r="CO123" t="e">
        <f>AND(Sheet1!#REF!,"AAAAAHf/f1w=")</f>
        <v>#REF!</v>
      </c>
      <c r="CP123" t="e">
        <f>AND(Sheet1!#REF!,"AAAAAHf/f10=")</f>
        <v>#REF!</v>
      </c>
      <c r="CQ123" t="e">
        <f>AND(Sheet1!G20,"AAAAAHf/f14=")</f>
        <v>#VALUE!</v>
      </c>
      <c r="CR123" t="e">
        <f>AND(Sheet1!#REF!,"AAAAAHf/f18=")</f>
        <v>#REF!</v>
      </c>
      <c r="CS123" t="e">
        <f>AND(Sheet1!I20,"AAAAAHf/f2A=")</f>
        <v>#VALUE!</v>
      </c>
      <c r="CT123" t="e">
        <f>AND(Sheet1!#REF!,"AAAAAHf/f2E=")</f>
        <v>#REF!</v>
      </c>
      <c r="CU123" t="e">
        <f>AND(Sheet1!#REF!,"AAAAAHf/f2I=")</f>
        <v>#REF!</v>
      </c>
      <c r="CV123" t="e">
        <f>AND(Sheet1!#REF!,"AAAAAHf/f2M=")</f>
        <v>#REF!</v>
      </c>
      <c r="CW123" t="e">
        <f>AND(Sheet1!#REF!,"AAAAAHf/f2Q=")</f>
        <v>#REF!</v>
      </c>
      <c r="CX123" t="e">
        <f>AND(Sheet1!#REF!,"AAAAAHf/f2U=")</f>
        <v>#REF!</v>
      </c>
      <c r="CY123" t="e">
        <f>AND(Sheet1!#REF!,"AAAAAHf/f2Y=")</f>
        <v>#REF!</v>
      </c>
      <c r="CZ123" t="e">
        <f>IF(Sheet1!#REF!,"AAAAAHf/f2c=",0)</f>
        <v>#REF!</v>
      </c>
      <c r="DA123" t="e">
        <f>AND(Sheet1!#REF!,"AAAAAHf/f2g=")</f>
        <v>#REF!</v>
      </c>
      <c r="DB123" t="e">
        <f>AND(Sheet1!#REF!,"AAAAAHf/f2k=")</f>
        <v>#REF!</v>
      </c>
      <c r="DC123" t="e">
        <f>AND(Sheet1!A31,"AAAAAHf/f2o=")</f>
        <v>#VALUE!</v>
      </c>
      <c r="DD123" t="e">
        <f>AND(Sheet1!E31,"AAAAAHf/f2s=")</f>
        <v>#VALUE!</v>
      </c>
      <c r="DE123" t="e">
        <f>AND(Sheet1!#REF!,"AAAAAHf/f2w=")</f>
        <v>#REF!</v>
      </c>
      <c r="DF123" t="e">
        <f>AND(Sheet1!#REF!,"AAAAAHf/f20=")</f>
        <v>#REF!</v>
      </c>
      <c r="DG123" t="e">
        <f>AND(Sheet1!G31,"AAAAAHf/f24=")</f>
        <v>#VALUE!</v>
      </c>
      <c r="DH123" t="e">
        <f>AND(Sheet1!#REF!,"AAAAAHf/f28=")</f>
        <v>#REF!</v>
      </c>
      <c r="DI123" t="e">
        <f>AND(Sheet1!I31,"AAAAAHf/f3A=")</f>
        <v>#VALUE!</v>
      </c>
      <c r="DJ123" t="e">
        <f>AND(Sheet1!#REF!,"AAAAAHf/f3E=")</f>
        <v>#REF!</v>
      </c>
      <c r="DK123" t="e">
        <f>AND(Sheet1!#REF!,"AAAAAHf/f3I=")</f>
        <v>#REF!</v>
      </c>
      <c r="DL123" t="e">
        <f>AND(Sheet1!#REF!,"AAAAAHf/f3M=")</f>
        <v>#REF!</v>
      </c>
      <c r="DM123" t="e">
        <f>AND(Sheet1!#REF!,"AAAAAHf/f3Q=")</f>
        <v>#REF!</v>
      </c>
      <c r="DN123" t="e">
        <f>AND(Sheet1!#REF!,"AAAAAHf/f3U=")</f>
        <v>#REF!</v>
      </c>
      <c r="DO123" t="e">
        <f>AND(Sheet1!#REF!,"AAAAAHf/f3Y=")</f>
        <v>#REF!</v>
      </c>
      <c r="DP123" t="e">
        <f>IF(Sheet1!#REF!,"AAAAAHf/f3c=",0)</f>
        <v>#REF!</v>
      </c>
      <c r="DQ123" t="e">
        <f>AND(Sheet1!#REF!,"AAAAAHf/f3g=")</f>
        <v>#REF!</v>
      </c>
      <c r="DR123" t="e">
        <f>AND(Sheet1!#REF!,"AAAAAHf/f3k=")</f>
        <v>#REF!</v>
      </c>
      <c r="DS123" t="e">
        <f>AND(Sheet1!#REF!,"AAAAAHf/f3o=")</f>
        <v>#REF!</v>
      </c>
      <c r="DT123" t="e">
        <f>AND(Sheet1!#REF!,"AAAAAHf/f3s=")</f>
        <v>#REF!</v>
      </c>
      <c r="DU123" t="e">
        <f>AND(Sheet1!#REF!,"AAAAAHf/f3w=")</f>
        <v>#REF!</v>
      </c>
      <c r="DV123" t="e">
        <f>AND(Sheet1!#REF!,"AAAAAHf/f30=")</f>
        <v>#REF!</v>
      </c>
      <c r="DW123" t="e">
        <f>AND(Sheet1!#REF!,"AAAAAHf/f34=")</f>
        <v>#REF!</v>
      </c>
      <c r="DX123" t="e">
        <f>AND(Sheet1!#REF!,"AAAAAHf/f38=")</f>
        <v>#REF!</v>
      </c>
      <c r="DY123" t="e">
        <f>AND(Sheet1!#REF!,"AAAAAHf/f4A=")</f>
        <v>#REF!</v>
      </c>
      <c r="DZ123" t="e">
        <f>AND(Sheet1!#REF!,"AAAAAHf/f4E=")</f>
        <v>#REF!</v>
      </c>
      <c r="EA123" t="e">
        <f>AND(Sheet1!#REF!,"AAAAAHf/f4I=")</f>
        <v>#REF!</v>
      </c>
      <c r="EB123" t="e">
        <f>AND(Sheet1!#REF!,"AAAAAHf/f4M=")</f>
        <v>#REF!</v>
      </c>
      <c r="EC123" t="e">
        <f>AND(Sheet1!#REF!,"AAAAAHf/f4Q=")</f>
        <v>#REF!</v>
      </c>
      <c r="ED123" t="e">
        <f>AND(Sheet1!#REF!,"AAAAAHf/f4U=")</f>
        <v>#REF!</v>
      </c>
      <c r="EE123" t="e">
        <f>AND(Sheet1!#REF!,"AAAAAHf/f4Y=")</f>
        <v>#REF!</v>
      </c>
      <c r="EF123" t="e">
        <f>IF(Sheet1!#REF!,"AAAAAHf/f4c=",0)</f>
        <v>#REF!</v>
      </c>
      <c r="EG123" t="e">
        <f>AND(Sheet1!#REF!,"AAAAAHf/f4g=")</f>
        <v>#REF!</v>
      </c>
      <c r="EH123" t="e">
        <f>AND(Sheet1!#REF!,"AAAAAHf/f4k=")</f>
        <v>#REF!</v>
      </c>
      <c r="EI123" t="e">
        <f>AND(Sheet1!A14,"AAAAAHf/f4o=")</f>
        <v>#VALUE!</v>
      </c>
      <c r="EJ123" t="e">
        <f>AND(Sheet1!E14,"AAAAAHf/f4s=")</f>
        <v>#VALUE!</v>
      </c>
      <c r="EK123" t="e">
        <f>AND(Sheet1!#REF!,"AAAAAHf/f4w=")</f>
        <v>#REF!</v>
      </c>
      <c r="EL123" t="e">
        <f>AND(Sheet1!#REF!,"AAAAAHf/f40=")</f>
        <v>#REF!</v>
      </c>
      <c r="EM123" t="e">
        <f>AND(Sheet1!G14,"AAAAAHf/f44=")</f>
        <v>#VALUE!</v>
      </c>
      <c r="EN123" t="e">
        <f>AND(Sheet1!#REF!,"AAAAAHf/f48=")</f>
        <v>#REF!</v>
      </c>
      <c r="EO123" t="e">
        <f>AND(Sheet1!I14,"AAAAAHf/f5A=")</f>
        <v>#VALUE!</v>
      </c>
      <c r="EP123" t="e">
        <f>AND(Sheet1!#REF!,"AAAAAHf/f5E=")</f>
        <v>#REF!</v>
      </c>
      <c r="EQ123" t="e">
        <f>AND(Sheet1!#REF!,"AAAAAHf/f5I=")</f>
        <v>#REF!</v>
      </c>
      <c r="ER123" t="e">
        <f>AND(Sheet1!#REF!,"AAAAAHf/f5M=")</f>
        <v>#REF!</v>
      </c>
      <c r="ES123" t="e">
        <f>AND(Sheet1!#REF!,"AAAAAHf/f5Q=")</f>
        <v>#REF!</v>
      </c>
      <c r="ET123" t="e">
        <f>AND(Sheet1!#REF!,"AAAAAHf/f5U=")</f>
        <v>#REF!</v>
      </c>
      <c r="EU123" t="e">
        <f>AND(Sheet1!#REF!,"AAAAAHf/f5Y=")</f>
        <v>#REF!</v>
      </c>
      <c r="EV123" t="e">
        <f>IF(Sheet1!#REF!,"AAAAAHf/f5c=",0)</f>
        <v>#REF!</v>
      </c>
      <c r="EW123" t="e">
        <f>AND(Sheet1!#REF!,"AAAAAHf/f5g=")</f>
        <v>#REF!</v>
      </c>
      <c r="EX123" t="e">
        <f>AND(Sheet1!#REF!,"AAAAAHf/f5k=")</f>
        <v>#REF!</v>
      </c>
      <c r="EY123" t="e">
        <f>AND(Sheet1!A10,"AAAAAHf/f5o=")</f>
        <v>#VALUE!</v>
      </c>
      <c r="EZ123" t="e">
        <f>AND(Sheet1!E10,"AAAAAHf/f5s=")</f>
        <v>#VALUE!</v>
      </c>
      <c r="FA123" t="e">
        <f>AND(Sheet1!#REF!,"AAAAAHf/f5w=")</f>
        <v>#REF!</v>
      </c>
      <c r="FB123" t="e">
        <f>AND(Sheet1!#REF!,"AAAAAHf/f50=")</f>
        <v>#REF!</v>
      </c>
      <c r="FC123" t="e">
        <f>AND(Sheet1!G10,"AAAAAHf/f54=")</f>
        <v>#VALUE!</v>
      </c>
      <c r="FD123" t="e">
        <f>AND(Sheet1!#REF!,"AAAAAHf/f58=")</f>
        <v>#REF!</v>
      </c>
      <c r="FE123" t="e">
        <f>AND(Sheet1!I10,"AAAAAHf/f6A=")</f>
        <v>#VALUE!</v>
      </c>
      <c r="FF123" t="e">
        <f>AND(Sheet1!#REF!,"AAAAAHf/f6E=")</f>
        <v>#REF!</v>
      </c>
      <c r="FG123" t="e">
        <f>AND(Sheet1!#REF!,"AAAAAHf/f6I=")</f>
        <v>#REF!</v>
      </c>
      <c r="FH123" t="e">
        <f>AND(Sheet1!#REF!,"AAAAAHf/f6M=")</f>
        <v>#REF!</v>
      </c>
      <c r="FI123" t="e">
        <f>AND(Sheet1!#REF!,"AAAAAHf/f6Q=")</f>
        <v>#REF!</v>
      </c>
      <c r="FJ123" t="e">
        <f>AND(Sheet1!#REF!,"AAAAAHf/f6U=")</f>
        <v>#REF!</v>
      </c>
      <c r="FK123" t="e">
        <f>AND(Sheet1!#REF!,"AAAAAHf/f6Y=")</f>
        <v>#REF!</v>
      </c>
      <c r="FL123" t="e">
        <f>IF(Sheet1!#REF!,"AAAAAHf/f6c=",0)</f>
        <v>#REF!</v>
      </c>
      <c r="FM123" t="e">
        <f>AND(Sheet1!#REF!,"AAAAAHf/f6g=")</f>
        <v>#REF!</v>
      </c>
      <c r="FN123" t="e">
        <f>AND(Sheet1!#REF!,"AAAAAHf/f6k=")</f>
        <v>#REF!</v>
      </c>
      <c r="FO123" t="e">
        <f>AND(Sheet1!A11,"AAAAAHf/f6o=")</f>
        <v>#VALUE!</v>
      </c>
      <c r="FP123" t="e">
        <f>AND(Sheet1!E11,"AAAAAHf/f6s=")</f>
        <v>#VALUE!</v>
      </c>
      <c r="FQ123" t="e">
        <f>AND(Sheet1!#REF!,"AAAAAHf/f6w=")</f>
        <v>#REF!</v>
      </c>
      <c r="FR123" t="e">
        <f>AND(Sheet1!#REF!,"AAAAAHf/f60=")</f>
        <v>#REF!</v>
      </c>
      <c r="FS123" t="e">
        <f>AND(Sheet1!G11,"AAAAAHf/f64=")</f>
        <v>#VALUE!</v>
      </c>
      <c r="FT123" t="e">
        <f>AND(Sheet1!#REF!,"AAAAAHf/f68=")</f>
        <v>#REF!</v>
      </c>
      <c r="FU123" t="e">
        <f>AND(Sheet1!I11,"AAAAAHf/f7A=")</f>
        <v>#VALUE!</v>
      </c>
      <c r="FV123" t="e">
        <f>AND(Sheet1!#REF!,"AAAAAHf/f7E=")</f>
        <v>#REF!</v>
      </c>
      <c r="FW123" t="e">
        <f>AND(Sheet1!#REF!,"AAAAAHf/f7I=")</f>
        <v>#REF!</v>
      </c>
      <c r="FX123" t="e">
        <f>AND(Sheet1!#REF!,"AAAAAHf/f7M=")</f>
        <v>#REF!</v>
      </c>
      <c r="FY123" t="e">
        <f>AND(Sheet1!#REF!,"AAAAAHf/f7Q=")</f>
        <v>#REF!</v>
      </c>
      <c r="FZ123" t="e">
        <f>AND(Sheet1!#REF!,"AAAAAHf/f7U=")</f>
        <v>#REF!</v>
      </c>
      <c r="GA123" t="e">
        <f>AND(Sheet1!#REF!,"AAAAAHf/f7Y=")</f>
        <v>#REF!</v>
      </c>
      <c r="GB123" t="e">
        <f>IF(Sheet1!#REF!,"AAAAAHf/f7c=",0)</f>
        <v>#REF!</v>
      </c>
      <c r="GC123" t="e">
        <f>AND(Sheet1!#REF!,"AAAAAHf/f7g=")</f>
        <v>#REF!</v>
      </c>
      <c r="GD123" t="e">
        <f>AND(Sheet1!#REF!,"AAAAAHf/f7k=")</f>
        <v>#REF!</v>
      </c>
      <c r="GE123" t="e">
        <f>AND(Sheet1!A19,"AAAAAHf/f7o=")</f>
        <v>#VALUE!</v>
      </c>
      <c r="GF123" t="e">
        <f>AND(Sheet1!E19,"AAAAAHf/f7s=")</f>
        <v>#VALUE!</v>
      </c>
      <c r="GG123" t="e">
        <f>AND(Sheet1!#REF!,"AAAAAHf/f7w=")</f>
        <v>#REF!</v>
      </c>
      <c r="GH123" t="e">
        <f>AND(Sheet1!#REF!,"AAAAAHf/f70=")</f>
        <v>#REF!</v>
      </c>
      <c r="GI123" t="e">
        <f>AND(Sheet1!G19,"AAAAAHf/f74=")</f>
        <v>#VALUE!</v>
      </c>
      <c r="GJ123" t="e">
        <f>AND(Sheet1!#REF!,"AAAAAHf/f78=")</f>
        <v>#REF!</v>
      </c>
      <c r="GK123" t="e">
        <f>AND(Sheet1!I19,"AAAAAHf/f8A=")</f>
        <v>#VALUE!</v>
      </c>
      <c r="GL123" t="e">
        <f>AND(Sheet1!#REF!,"AAAAAHf/f8E=")</f>
        <v>#REF!</v>
      </c>
      <c r="GM123" t="e">
        <f>AND(Sheet1!#REF!,"AAAAAHf/f8I=")</f>
        <v>#REF!</v>
      </c>
      <c r="GN123" t="e">
        <f>AND(Sheet1!#REF!,"AAAAAHf/f8M=")</f>
        <v>#REF!</v>
      </c>
      <c r="GO123" t="e">
        <f>AND(Sheet1!#REF!,"AAAAAHf/f8Q=")</f>
        <v>#REF!</v>
      </c>
      <c r="GP123" t="e">
        <f>AND(Sheet1!#REF!,"AAAAAHf/f8U=")</f>
        <v>#REF!</v>
      </c>
      <c r="GQ123" t="e">
        <f>AND(Sheet1!#REF!,"AAAAAHf/f8Y=")</f>
        <v>#REF!</v>
      </c>
      <c r="GR123" t="e">
        <f>IF(Sheet1!#REF!,"AAAAAHf/f8c=",0)</f>
        <v>#REF!</v>
      </c>
      <c r="GS123" t="e">
        <f>AND(Sheet1!#REF!,"AAAAAHf/f8g=")</f>
        <v>#REF!</v>
      </c>
      <c r="GT123" t="e">
        <f>AND(Sheet1!#REF!,"AAAAAHf/f8k=")</f>
        <v>#REF!</v>
      </c>
      <c r="GU123" t="e">
        <f>AND(Sheet1!#REF!,"AAAAAHf/f8o=")</f>
        <v>#REF!</v>
      </c>
      <c r="GV123" t="e">
        <f>AND(Sheet1!#REF!,"AAAAAHf/f8s=")</f>
        <v>#REF!</v>
      </c>
      <c r="GW123" t="e">
        <f>AND(Sheet1!#REF!,"AAAAAHf/f8w=")</f>
        <v>#REF!</v>
      </c>
      <c r="GX123" t="e">
        <f>AND(Sheet1!#REF!,"AAAAAHf/f80=")</f>
        <v>#REF!</v>
      </c>
      <c r="GY123" t="e">
        <f>AND(Sheet1!#REF!,"AAAAAHf/f84=")</f>
        <v>#REF!</v>
      </c>
      <c r="GZ123" t="e">
        <f>AND(Sheet1!#REF!,"AAAAAHf/f88=")</f>
        <v>#REF!</v>
      </c>
      <c r="HA123" t="e">
        <f>AND(Sheet1!#REF!,"AAAAAHf/f9A=")</f>
        <v>#REF!</v>
      </c>
      <c r="HB123" t="e">
        <f>AND(Sheet1!#REF!,"AAAAAHf/f9E=")</f>
        <v>#REF!</v>
      </c>
      <c r="HC123" t="e">
        <f>AND(Sheet1!#REF!,"AAAAAHf/f9I=")</f>
        <v>#REF!</v>
      </c>
      <c r="HD123" t="e">
        <f>AND(Sheet1!#REF!,"AAAAAHf/f9M=")</f>
        <v>#REF!</v>
      </c>
      <c r="HE123" t="e">
        <f>AND(Sheet1!#REF!,"AAAAAHf/f9Q=")</f>
        <v>#REF!</v>
      </c>
      <c r="HF123" t="e">
        <f>AND(Sheet1!#REF!,"AAAAAHf/f9U=")</f>
        <v>#REF!</v>
      </c>
      <c r="HG123" t="e">
        <f>AND(Sheet1!#REF!,"AAAAAHf/f9Y=")</f>
        <v>#REF!</v>
      </c>
      <c r="HH123" t="e">
        <f>IF(Sheet1!#REF!,"AAAAAHf/f9c=",0)</f>
        <v>#REF!</v>
      </c>
      <c r="HI123" t="e">
        <f>AND(Sheet1!#REF!,"AAAAAHf/f9g=")</f>
        <v>#REF!</v>
      </c>
      <c r="HJ123" t="e">
        <f>AND(Sheet1!#REF!,"AAAAAHf/f9k=")</f>
        <v>#REF!</v>
      </c>
      <c r="HK123" t="e">
        <f>AND(Sheet1!#REF!,"AAAAAHf/f9o=")</f>
        <v>#REF!</v>
      </c>
      <c r="HL123" t="e">
        <f>AND(Sheet1!#REF!,"AAAAAHf/f9s=")</f>
        <v>#REF!</v>
      </c>
      <c r="HM123" t="e">
        <f>AND(Sheet1!#REF!,"AAAAAHf/f9w=")</f>
        <v>#REF!</v>
      </c>
      <c r="HN123" t="e">
        <f>AND(Sheet1!#REF!,"AAAAAHf/f90=")</f>
        <v>#REF!</v>
      </c>
      <c r="HO123" t="e">
        <f>AND(Sheet1!#REF!,"AAAAAHf/f94=")</f>
        <v>#REF!</v>
      </c>
      <c r="HP123" t="e">
        <f>AND(Sheet1!#REF!,"AAAAAHf/f98=")</f>
        <v>#REF!</v>
      </c>
      <c r="HQ123" t="e">
        <f>AND(Sheet1!#REF!,"AAAAAHf/f+A=")</f>
        <v>#REF!</v>
      </c>
      <c r="HR123" t="e">
        <f>AND(Sheet1!#REF!,"AAAAAHf/f+E=")</f>
        <v>#REF!</v>
      </c>
      <c r="HS123" t="e">
        <f>AND(Sheet1!#REF!,"AAAAAHf/f+I=")</f>
        <v>#REF!</v>
      </c>
      <c r="HT123" t="e">
        <f>AND(Sheet1!#REF!,"AAAAAHf/f+M=")</f>
        <v>#REF!</v>
      </c>
      <c r="HU123" t="e">
        <f>AND(Sheet1!#REF!,"AAAAAHf/f+Q=")</f>
        <v>#REF!</v>
      </c>
      <c r="HV123" t="e">
        <f>AND(Sheet1!#REF!,"AAAAAHf/f+U=")</f>
        <v>#REF!</v>
      </c>
      <c r="HW123" t="e">
        <f>AND(Sheet1!#REF!,"AAAAAHf/f+Y=")</f>
        <v>#REF!</v>
      </c>
      <c r="HX123" t="e">
        <f>IF(Sheet1!#REF!,"AAAAAHf/f+c=",0)</f>
        <v>#REF!</v>
      </c>
      <c r="HY123" t="e">
        <f>AND(Sheet1!#REF!,"AAAAAHf/f+g=")</f>
        <v>#REF!</v>
      </c>
      <c r="HZ123" t="e">
        <f>AND(Sheet1!#REF!,"AAAAAHf/f+k=")</f>
        <v>#REF!</v>
      </c>
      <c r="IA123" t="e">
        <f>AND(Sheet1!#REF!,"AAAAAHf/f+o=")</f>
        <v>#REF!</v>
      </c>
      <c r="IB123" t="e">
        <f>AND(Sheet1!#REF!,"AAAAAHf/f+s=")</f>
        <v>#REF!</v>
      </c>
      <c r="IC123" t="e">
        <f>AND(Sheet1!#REF!,"AAAAAHf/f+w=")</f>
        <v>#REF!</v>
      </c>
      <c r="ID123" t="e">
        <f>AND(Sheet1!#REF!,"AAAAAHf/f+0=")</f>
        <v>#REF!</v>
      </c>
      <c r="IE123" t="e">
        <f>AND(Sheet1!#REF!,"AAAAAHf/f+4=")</f>
        <v>#REF!</v>
      </c>
      <c r="IF123" t="e">
        <f>AND(Sheet1!#REF!,"AAAAAHf/f+8=")</f>
        <v>#REF!</v>
      </c>
      <c r="IG123" t="e">
        <f>AND(Sheet1!#REF!,"AAAAAHf/f/A=")</f>
        <v>#REF!</v>
      </c>
      <c r="IH123" t="e">
        <f>AND(Sheet1!#REF!,"AAAAAHf/f/E=")</f>
        <v>#REF!</v>
      </c>
      <c r="II123" t="e">
        <f>AND(Sheet1!#REF!,"AAAAAHf/f/I=")</f>
        <v>#REF!</v>
      </c>
      <c r="IJ123" t="e">
        <f>AND(Sheet1!#REF!,"AAAAAHf/f/M=")</f>
        <v>#REF!</v>
      </c>
      <c r="IK123" t="e">
        <f>AND(Sheet1!#REF!,"AAAAAHf/f/Q=")</f>
        <v>#REF!</v>
      </c>
      <c r="IL123" t="e">
        <f>AND(Sheet1!#REF!,"AAAAAHf/f/U=")</f>
        <v>#REF!</v>
      </c>
      <c r="IM123" t="e">
        <f>AND(Sheet1!#REF!,"AAAAAHf/f/Y=")</f>
        <v>#REF!</v>
      </c>
      <c r="IN123" t="e">
        <f>IF(Sheet1!#REF!,"AAAAAHf/f/c=",0)</f>
        <v>#REF!</v>
      </c>
      <c r="IO123" t="e">
        <f>AND(Sheet1!#REF!,"AAAAAHf/f/g=")</f>
        <v>#REF!</v>
      </c>
      <c r="IP123" t="e">
        <f>AND(Sheet1!#REF!,"AAAAAHf/f/k=")</f>
        <v>#REF!</v>
      </c>
      <c r="IQ123" t="e">
        <f>AND(Sheet1!A9,"AAAAAHf/f/o=")</f>
        <v>#VALUE!</v>
      </c>
      <c r="IR123" t="e">
        <f>AND(Sheet1!E9,"AAAAAHf/f/s=")</f>
        <v>#VALUE!</v>
      </c>
      <c r="IS123" t="e">
        <f>AND(Sheet1!#REF!,"AAAAAHf/f/w=")</f>
        <v>#REF!</v>
      </c>
      <c r="IT123" t="e">
        <f>AND(Sheet1!#REF!,"AAAAAHf/f/0=")</f>
        <v>#REF!</v>
      </c>
      <c r="IU123" t="e">
        <f>AND(Sheet1!G9,"AAAAAHf/f/4=")</f>
        <v>#VALUE!</v>
      </c>
      <c r="IV123" t="e">
        <f>AND(Sheet1!#REF!,"AAAAAHf/f/8=")</f>
        <v>#REF!</v>
      </c>
    </row>
    <row r="124" spans="1:256" x14ac:dyDescent="0.15">
      <c r="A124" t="e">
        <f>AND(Sheet1!I9,"AAAAAH/3/wA=")</f>
        <v>#VALUE!</v>
      </c>
      <c r="B124" t="e">
        <f>AND(Sheet1!#REF!,"AAAAAH/3/wE=")</f>
        <v>#REF!</v>
      </c>
      <c r="C124" t="e">
        <f>AND(Sheet1!#REF!,"AAAAAH/3/wI=")</f>
        <v>#REF!</v>
      </c>
      <c r="D124" t="e">
        <f>AND(Sheet1!#REF!,"AAAAAH/3/wM=")</f>
        <v>#REF!</v>
      </c>
      <c r="E124" t="e">
        <f>AND(Sheet1!#REF!,"AAAAAH/3/wQ=")</f>
        <v>#REF!</v>
      </c>
      <c r="F124" t="e">
        <f>AND(Sheet1!#REF!,"AAAAAH/3/wU=")</f>
        <v>#REF!</v>
      </c>
      <c r="G124" t="e">
        <f>AND(Sheet1!#REF!,"AAAAAH/3/wY=")</f>
        <v>#REF!</v>
      </c>
      <c r="H124" t="e">
        <f>IF(Sheet1!#REF!,"AAAAAH/3/wc=",0)</f>
        <v>#REF!</v>
      </c>
      <c r="I124" t="e">
        <f>AND(Sheet1!#REF!,"AAAAAH/3/wg=")</f>
        <v>#REF!</v>
      </c>
      <c r="J124" t="e">
        <f>AND(Sheet1!#REF!,"AAAAAH/3/wk=")</f>
        <v>#REF!</v>
      </c>
      <c r="K124" t="e">
        <f>AND(Sheet1!A41,"AAAAAH/3/wo=")</f>
        <v>#VALUE!</v>
      </c>
      <c r="L124" t="e">
        <f>AND(Sheet1!E41,"AAAAAH/3/ws=")</f>
        <v>#VALUE!</v>
      </c>
      <c r="M124" t="e">
        <f>AND(Sheet1!#REF!,"AAAAAH/3/ww=")</f>
        <v>#REF!</v>
      </c>
      <c r="N124" t="e">
        <f>AND(Sheet1!#REF!,"AAAAAH/3/w0=")</f>
        <v>#REF!</v>
      </c>
      <c r="O124" t="e">
        <f>AND(Sheet1!G41,"AAAAAH/3/w4=")</f>
        <v>#VALUE!</v>
      </c>
      <c r="P124" t="e">
        <f>AND(Sheet1!#REF!,"AAAAAH/3/w8=")</f>
        <v>#REF!</v>
      </c>
      <c r="Q124" t="e">
        <f>AND(Sheet1!I41,"AAAAAH/3/xA=")</f>
        <v>#VALUE!</v>
      </c>
      <c r="R124" t="e">
        <f>AND(Sheet1!#REF!,"AAAAAH/3/xE=")</f>
        <v>#REF!</v>
      </c>
      <c r="S124" t="e">
        <f>AND(Sheet1!#REF!,"AAAAAH/3/xI=")</f>
        <v>#REF!</v>
      </c>
      <c r="T124" t="e">
        <f>AND(Sheet1!#REF!,"AAAAAH/3/xM=")</f>
        <v>#REF!</v>
      </c>
      <c r="U124" t="e">
        <f>AND(Sheet1!#REF!,"AAAAAH/3/xQ=")</f>
        <v>#REF!</v>
      </c>
      <c r="V124" t="e">
        <f>AND(Sheet1!#REF!,"AAAAAH/3/xU=")</f>
        <v>#REF!</v>
      </c>
      <c r="W124" t="e">
        <f>AND(Sheet1!#REF!,"AAAAAH/3/xY=")</f>
        <v>#REF!</v>
      </c>
      <c r="X124" t="e">
        <f>IF(Sheet1!#REF!,"AAAAAH/3/xc=",0)</f>
        <v>#REF!</v>
      </c>
      <c r="Y124" t="e">
        <f>AND(Sheet1!#REF!,"AAAAAH/3/xg=")</f>
        <v>#REF!</v>
      </c>
      <c r="Z124" t="e">
        <f>AND(Sheet1!#REF!,"AAAAAH/3/xk=")</f>
        <v>#REF!</v>
      </c>
      <c r="AA124" t="e">
        <f>AND(Sheet1!A29,"AAAAAH/3/xo=")</f>
        <v>#VALUE!</v>
      </c>
      <c r="AB124" t="e">
        <f>AND(Sheet1!E29,"AAAAAH/3/xs=")</f>
        <v>#VALUE!</v>
      </c>
      <c r="AC124" t="e">
        <f>AND(Sheet1!#REF!,"AAAAAH/3/xw=")</f>
        <v>#REF!</v>
      </c>
      <c r="AD124" t="e">
        <f>AND(Sheet1!#REF!,"AAAAAH/3/x0=")</f>
        <v>#REF!</v>
      </c>
      <c r="AE124" t="e">
        <f>AND(Sheet1!G29,"AAAAAH/3/x4=")</f>
        <v>#VALUE!</v>
      </c>
      <c r="AF124" t="e">
        <f>AND(Sheet1!#REF!,"AAAAAH/3/x8=")</f>
        <v>#REF!</v>
      </c>
      <c r="AG124" t="e">
        <f>AND(Sheet1!I29,"AAAAAH/3/yA=")</f>
        <v>#VALUE!</v>
      </c>
      <c r="AH124" t="e">
        <f>AND(Sheet1!#REF!,"AAAAAH/3/yE=")</f>
        <v>#REF!</v>
      </c>
      <c r="AI124" t="e">
        <f>AND(Sheet1!#REF!,"AAAAAH/3/yI=")</f>
        <v>#REF!</v>
      </c>
      <c r="AJ124" t="e">
        <f>AND(Sheet1!#REF!,"AAAAAH/3/yM=")</f>
        <v>#REF!</v>
      </c>
      <c r="AK124" t="e">
        <f>AND(Sheet1!#REF!,"AAAAAH/3/yQ=")</f>
        <v>#REF!</v>
      </c>
      <c r="AL124" t="e">
        <f>AND(Sheet1!#REF!,"AAAAAH/3/yU=")</f>
        <v>#REF!</v>
      </c>
      <c r="AM124" t="e">
        <f>AND(Sheet1!#REF!,"AAAAAH/3/yY=")</f>
        <v>#REF!</v>
      </c>
      <c r="AN124" t="e">
        <f>IF(Sheet1!#REF!,"AAAAAH/3/yc=",0)</f>
        <v>#REF!</v>
      </c>
      <c r="AO124" t="e">
        <f>AND(Sheet1!#REF!,"AAAAAH/3/yg=")</f>
        <v>#REF!</v>
      </c>
      <c r="AP124" t="e">
        <f>AND(Sheet1!#REF!,"AAAAAH/3/yk=")</f>
        <v>#REF!</v>
      </c>
      <c r="AQ124" t="e">
        <f>AND(Sheet1!#REF!,"AAAAAH/3/yo=")</f>
        <v>#REF!</v>
      </c>
      <c r="AR124" t="e">
        <f>AND(Sheet1!#REF!,"AAAAAH/3/ys=")</f>
        <v>#REF!</v>
      </c>
      <c r="AS124" t="e">
        <f>AND(Sheet1!#REF!,"AAAAAH/3/yw=")</f>
        <v>#REF!</v>
      </c>
      <c r="AT124" t="e">
        <f>AND(Sheet1!#REF!,"AAAAAH/3/y0=")</f>
        <v>#REF!</v>
      </c>
      <c r="AU124" t="e">
        <f>AND(Sheet1!#REF!,"AAAAAH/3/y4=")</f>
        <v>#REF!</v>
      </c>
      <c r="AV124" t="e">
        <f>AND(Sheet1!#REF!,"AAAAAH/3/y8=")</f>
        <v>#REF!</v>
      </c>
      <c r="AW124" t="e">
        <f>AND(Sheet1!#REF!,"AAAAAH/3/zA=")</f>
        <v>#REF!</v>
      </c>
      <c r="AX124" t="e">
        <f>AND(Sheet1!#REF!,"AAAAAH/3/zE=")</f>
        <v>#REF!</v>
      </c>
      <c r="AY124" t="e">
        <f>AND(Sheet1!#REF!,"AAAAAH/3/zI=")</f>
        <v>#REF!</v>
      </c>
      <c r="AZ124" t="e">
        <f>AND(Sheet1!#REF!,"AAAAAH/3/zM=")</f>
        <v>#REF!</v>
      </c>
      <c r="BA124" t="e">
        <f>AND(Sheet1!#REF!,"AAAAAH/3/zQ=")</f>
        <v>#REF!</v>
      </c>
      <c r="BB124" t="e">
        <f>AND(Sheet1!#REF!,"AAAAAH/3/zU=")</f>
        <v>#REF!</v>
      </c>
      <c r="BC124" t="e">
        <f>AND(Sheet1!#REF!,"AAAAAH/3/zY=")</f>
        <v>#REF!</v>
      </c>
      <c r="BD124" t="e">
        <f>IF(Sheet1!#REF!,"AAAAAH/3/zc=",0)</f>
        <v>#REF!</v>
      </c>
      <c r="BE124" t="e">
        <f>AND(Sheet1!#REF!,"AAAAAH/3/zg=")</f>
        <v>#REF!</v>
      </c>
      <c r="BF124" t="e">
        <f>AND(Sheet1!#REF!,"AAAAAH/3/zk=")</f>
        <v>#REF!</v>
      </c>
      <c r="BG124" t="e">
        <f>AND(Sheet1!A15,"AAAAAH/3/zo=")</f>
        <v>#VALUE!</v>
      </c>
      <c r="BH124" t="e">
        <f>AND(Sheet1!E15,"AAAAAH/3/zs=")</f>
        <v>#VALUE!</v>
      </c>
      <c r="BI124" t="e">
        <f>AND(Sheet1!#REF!,"AAAAAH/3/zw=")</f>
        <v>#REF!</v>
      </c>
      <c r="BJ124" t="e">
        <f>AND(Sheet1!#REF!,"AAAAAH/3/z0=")</f>
        <v>#REF!</v>
      </c>
      <c r="BK124" t="e">
        <f>AND(Sheet1!G15,"AAAAAH/3/z4=")</f>
        <v>#VALUE!</v>
      </c>
      <c r="BL124" t="e">
        <f>AND(Sheet1!#REF!,"AAAAAH/3/z8=")</f>
        <v>#REF!</v>
      </c>
      <c r="BM124" t="e">
        <f>AND(Sheet1!I15,"AAAAAH/3/0A=")</f>
        <v>#VALUE!</v>
      </c>
      <c r="BN124" t="e">
        <f>AND(Sheet1!#REF!,"AAAAAH/3/0E=")</f>
        <v>#REF!</v>
      </c>
      <c r="BO124" t="e">
        <f>AND(Sheet1!#REF!,"AAAAAH/3/0I=")</f>
        <v>#REF!</v>
      </c>
      <c r="BP124" t="e">
        <f>AND(Sheet1!#REF!,"AAAAAH/3/0M=")</f>
        <v>#REF!</v>
      </c>
      <c r="BQ124" t="e">
        <f>AND(Sheet1!#REF!,"AAAAAH/3/0Q=")</f>
        <v>#REF!</v>
      </c>
      <c r="BR124" t="e">
        <f>AND(Sheet1!#REF!,"AAAAAH/3/0U=")</f>
        <v>#REF!</v>
      </c>
      <c r="BS124" t="e">
        <f>AND(Sheet1!#REF!,"AAAAAH/3/0Y=")</f>
        <v>#REF!</v>
      </c>
      <c r="BT124" t="e">
        <f>IF(Sheet1!#REF!,"AAAAAH/3/0c=",0)</f>
        <v>#REF!</v>
      </c>
      <c r="BU124" t="e">
        <f>AND(Sheet1!#REF!,"AAAAAH/3/0g=")</f>
        <v>#REF!</v>
      </c>
      <c r="BV124" t="e">
        <f>AND(Sheet1!#REF!,"AAAAAH/3/0k=")</f>
        <v>#REF!</v>
      </c>
      <c r="BW124" t="e">
        <f>AND(Sheet1!A38,"AAAAAH/3/0o=")</f>
        <v>#VALUE!</v>
      </c>
      <c r="BX124" t="e">
        <f>AND(Sheet1!E38,"AAAAAH/3/0s=")</f>
        <v>#VALUE!</v>
      </c>
      <c r="BY124" t="e">
        <f>AND(Sheet1!#REF!,"AAAAAH/3/0w=")</f>
        <v>#REF!</v>
      </c>
      <c r="BZ124" t="e">
        <f>AND(Sheet1!#REF!,"AAAAAH/3/00=")</f>
        <v>#REF!</v>
      </c>
      <c r="CA124" t="e">
        <f>AND(Sheet1!G38,"AAAAAH/3/04=")</f>
        <v>#VALUE!</v>
      </c>
      <c r="CB124" t="e">
        <f>AND(Sheet1!#REF!,"AAAAAH/3/08=")</f>
        <v>#REF!</v>
      </c>
      <c r="CC124" t="e">
        <f>AND(Sheet1!I38,"AAAAAH/3/1A=")</f>
        <v>#VALUE!</v>
      </c>
      <c r="CD124" t="e">
        <f>AND(Sheet1!#REF!,"AAAAAH/3/1E=")</f>
        <v>#REF!</v>
      </c>
      <c r="CE124" t="e">
        <f>AND(Sheet1!#REF!,"AAAAAH/3/1I=")</f>
        <v>#REF!</v>
      </c>
      <c r="CF124" t="e">
        <f>AND(Sheet1!#REF!,"AAAAAH/3/1M=")</f>
        <v>#REF!</v>
      </c>
      <c r="CG124" t="e">
        <f>AND(Sheet1!#REF!,"AAAAAH/3/1Q=")</f>
        <v>#REF!</v>
      </c>
      <c r="CH124" t="e">
        <f>AND(Sheet1!#REF!,"AAAAAH/3/1U=")</f>
        <v>#REF!</v>
      </c>
      <c r="CI124" t="e">
        <f>AND(Sheet1!#REF!,"AAAAAH/3/1Y=")</f>
        <v>#REF!</v>
      </c>
      <c r="CJ124" t="e">
        <f>IF(Sheet1!#REF!,"AAAAAH/3/1c=",0)</f>
        <v>#REF!</v>
      </c>
      <c r="CK124" t="e">
        <f>AND(Sheet1!#REF!,"AAAAAH/3/1g=")</f>
        <v>#REF!</v>
      </c>
      <c r="CL124" t="e">
        <f>AND(Sheet1!#REF!,"AAAAAH/3/1k=")</f>
        <v>#REF!</v>
      </c>
      <c r="CM124" t="e">
        <f>AND(Sheet1!#REF!,"AAAAAH/3/1o=")</f>
        <v>#REF!</v>
      </c>
      <c r="CN124" t="e">
        <f>AND(Sheet1!#REF!,"AAAAAH/3/1s=")</f>
        <v>#REF!</v>
      </c>
      <c r="CO124" t="e">
        <f>AND(Sheet1!#REF!,"AAAAAH/3/1w=")</f>
        <v>#REF!</v>
      </c>
      <c r="CP124" t="e">
        <f>AND(Sheet1!#REF!,"AAAAAH/3/10=")</f>
        <v>#REF!</v>
      </c>
      <c r="CQ124" t="e">
        <f>AND(Sheet1!#REF!,"AAAAAH/3/14=")</f>
        <v>#REF!</v>
      </c>
      <c r="CR124" t="e">
        <f>AND(Sheet1!#REF!,"AAAAAH/3/18=")</f>
        <v>#REF!</v>
      </c>
      <c r="CS124" t="e">
        <f>AND(Sheet1!#REF!,"AAAAAH/3/2A=")</f>
        <v>#REF!</v>
      </c>
      <c r="CT124" t="e">
        <f>AND(Sheet1!#REF!,"AAAAAH/3/2E=")</f>
        <v>#REF!</v>
      </c>
      <c r="CU124" t="e">
        <f>AND(Sheet1!#REF!,"AAAAAH/3/2I=")</f>
        <v>#REF!</v>
      </c>
      <c r="CV124" t="e">
        <f>AND(Sheet1!#REF!,"AAAAAH/3/2M=")</f>
        <v>#REF!</v>
      </c>
      <c r="CW124" t="e">
        <f>AND(Sheet1!#REF!,"AAAAAH/3/2Q=")</f>
        <v>#REF!</v>
      </c>
      <c r="CX124" t="e">
        <f>AND(Sheet1!#REF!,"AAAAAH/3/2U=")</f>
        <v>#REF!</v>
      </c>
      <c r="CY124" t="e">
        <f>AND(Sheet1!#REF!,"AAAAAH/3/2Y=")</f>
        <v>#REF!</v>
      </c>
      <c r="CZ124" t="e">
        <f>IF(Sheet1!#REF!,"AAAAAH/3/2c=",0)</f>
        <v>#REF!</v>
      </c>
      <c r="DA124" t="e">
        <f>AND(Sheet1!#REF!,"AAAAAH/3/2g=")</f>
        <v>#REF!</v>
      </c>
      <c r="DB124" t="e">
        <f>AND(Sheet1!#REF!,"AAAAAH/3/2k=")</f>
        <v>#REF!</v>
      </c>
      <c r="DC124" t="e">
        <f>AND(Sheet1!A21,"AAAAAH/3/2o=")</f>
        <v>#VALUE!</v>
      </c>
      <c r="DD124" t="e">
        <f>AND(Sheet1!E21,"AAAAAH/3/2s=")</f>
        <v>#VALUE!</v>
      </c>
      <c r="DE124" t="e">
        <f>AND(Sheet1!#REF!,"AAAAAH/3/2w=")</f>
        <v>#REF!</v>
      </c>
      <c r="DF124" t="e">
        <f>AND(Sheet1!#REF!,"AAAAAH/3/20=")</f>
        <v>#REF!</v>
      </c>
      <c r="DG124" t="e">
        <f>AND(Sheet1!G21,"AAAAAH/3/24=")</f>
        <v>#VALUE!</v>
      </c>
      <c r="DH124" t="e">
        <f>AND(Sheet1!#REF!,"AAAAAH/3/28=")</f>
        <v>#REF!</v>
      </c>
      <c r="DI124" t="e">
        <f>AND(Sheet1!I21,"AAAAAH/3/3A=")</f>
        <v>#VALUE!</v>
      </c>
      <c r="DJ124" t="e">
        <f>AND(Sheet1!#REF!,"AAAAAH/3/3E=")</f>
        <v>#REF!</v>
      </c>
      <c r="DK124" t="e">
        <f>AND(Sheet1!#REF!,"AAAAAH/3/3I=")</f>
        <v>#REF!</v>
      </c>
      <c r="DL124" t="e">
        <f>AND(Sheet1!#REF!,"AAAAAH/3/3M=")</f>
        <v>#REF!</v>
      </c>
      <c r="DM124" t="e">
        <f>AND(Sheet1!#REF!,"AAAAAH/3/3Q=")</f>
        <v>#REF!</v>
      </c>
      <c r="DN124" t="e">
        <f>AND(Sheet1!#REF!,"AAAAAH/3/3U=")</f>
        <v>#REF!</v>
      </c>
      <c r="DO124" t="e">
        <f>AND(Sheet1!#REF!,"AAAAAH/3/3Y=")</f>
        <v>#REF!</v>
      </c>
      <c r="DP124" t="e">
        <f>IF(Sheet1!#REF!,"AAAAAH/3/3c=",0)</f>
        <v>#REF!</v>
      </c>
      <c r="DQ124" t="e">
        <f>AND(Sheet1!#REF!,"AAAAAH/3/3g=")</f>
        <v>#REF!</v>
      </c>
      <c r="DR124" t="e">
        <f>AND(Sheet1!#REF!,"AAAAAH/3/3k=")</f>
        <v>#REF!</v>
      </c>
      <c r="DS124" t="e">
        <f>AND(Sheet1!#REF!,"AAAAAH/3/3o=")</f>
        <v>#REF!</v>
      </c>
      <c r="DT124" t="e">
        <f>AND(Sheet1!#REF!,"AAAAAH/3/3s=")</f>
        <v>#REF!</v>
      </c>
      <c r="DU124" t="e">
        <f>AND(Sheet1!#REF!,"AAAAAH/3/3w=")</f>
        <v>#REF!</v>
      </c>
      <c r="DV124" t="e">
        <f>AND(Sheet1!#REF!,"AAAAAH/3/30=")</f>
        <v>#REF!</v>
      </c>
      <c r="DW124" t="e">
        <f>AND(Sheet1!#REF!,"AAAAAH/3/34=")</f>
        <v>#REF!</v>
      </c>
      <c r="DX124" t="e">
        <f>AND(Sheet1!#REF!,"AAAAAH/3/38=")</f>
        <v>#REF!</v>
      </c>
      <c r="DY124" t="e">
        <f>AND(Sheet1!#REF!,"AAAAAH/3/4A=")</f>
        <v>#REF!</v>
      </c>
      <c r="DZ124" t="e">
        <f>AND(Sheet1!#REF!,"AAAAAH/3/4E=")</f>
        <v>#REF!</v>
      </c>
      <c r="EA124" t="e">
        <f>AND(Sheet1!#REF!,"AAAAAH/3/4I=")</f>
        <v>#REF!</v>
      </c>
      <c r="EB124" t="e">
        <f>AND(Sheet1!#REF!,"AAAAAH/3/4M=")</f>
        <v>#REF!</v>
      </c>
      <c r="EC124" t="e">
        <f>AND(Sheet1!#REF!,"AAAAAH/3/4Q=")</f>
        <v>#REF!</v>
      </c>
      <c r="ED124" t="e">
        <f>AND(Sheet1!#REF!,"AAAAAH/3/4U=")</f>
        <v>#REF!</v>
      </c>
      <c r="EE124" t="e">
        <f>AND(Sheet1!#REF!,"AAAAAH/3/4Y=")</f>
        <v>#REF!</v>
      </c>
      <c r="EF124" t="e">
        <f>IF(Sheet1!#REF!,"AAAAAH/3/4c=",0)</f>
        <v>#REF!</v>
      </c>
      <c r="EG124" t="e">
        <f>AND(Sheet1!#REF!,"AAAAAH/3/4g=")</f>
        <v>#REF!</v>
      </c>
      <c r="EH124" t="e">
        <f>AND(Sheet1!#REF!,"AAAAAH/3/4k=")</f>
        <v>#REF!</v>
      </c>
      <c r="EI124" t="e">
        <f>AND(Sheet1!#REF!,"AAAAAH/3/4o=")</f>
        <v>#REF!</v>
      </c>
      <c r="EJ124" t="e">
        <f>AND(Sheet1!#REF!,"AAAAAH/3/4s=")</f>
        <v>#REF!</v>
      </c>
      <c r="EK124" t="e">
        <f>AND(Sheet1!#REF!,"AAAAAH/3/4w=")</f>
        <v>#REF!</v>
      </c>
      <c r="EL124" t="e">
        <f>AND(Sheet1!#REF!,"AAAAAH/3/40=")</f>
        <v>#REF!</v>
      </c>
      <c r="EM124" t="e">
        <f>AND(Sheet1!#REF!,"AAAAAH/3/44=")</f>
        <v>#REF!</v>
      </c>
      <c r="EN124" t="e">
        <f>AND(Sheet1!#REF!,"AAAAAH/3/48=")</f>
        <v>#REF!</v>
      </c>
      <c r="EO124" t="e">
        <f>AND(Sheet1!#REF!,"AAAAAH/3/5A=")</f>
        <v>#REF!</v>
      </c>
      <c r="EP124" t="e">
        <f>AND(Sheet1!#REF!,"AAAAAH/3/5E=")</f>
        <v>#REF!</v>
      </c>
      <c r="EQ124" t="e">
        <f>AND(Sheet1!#REF!,"AAAAAH/3/5I=")</f>
        <v>#REF!</v>
      </c>
      <c r="ER124" t="e">
        <f>AND(Sheet1!#REF!,"AAAAAH/3/5M=")</f>
        <v>#REF!</v>
      </c>
      <c r="ES124" t="e">
        <f>AND(Sheet1!#REF!,"AAAAAH/3/5Q=")</f>
        <v>#REF!</v>
      </c>
      <c r="ET124" t="e">
        <f>AND(Sheet1!#REF!,"AAAAAH/3/5U=")</f>
        <v>#REF!</v>
      </c>
      <c r="EU124" t="e">
        <f>AND(Sheet1!#REF!,"AAAAAH/3/5Y=")</f>
        <v>#REF!</v>
      </c>
      <c r="EV124" t="e">
        <f>IF(Sheet1!#REF!,"AAAAAH/3/5c=",0)</f>
        <v>#REF!</v>
      </c>
      <c r="EW124" t="e">
        <f>AND(Sheet1!#REF!,"AAAAAH/3/5g=")</f>
        <v>#REF!</v>
      </c>
      <c r="EX124" t="e">
        <f>AND(Sheet1!#REF!,"AAAAAH/3/5k=")</f>
        <v>#REF!</v>
      </c>
      <c r="EY124" t="e">
        <f>AND(Sheet1!#REF!,"AAAAAH/3/5o=")</f>
        <v>#REF!</v>
      </c>
      <c r="EZ124" t="e">
        <f>AND(Sheet1!#REF!,"AAAAAH/3/5s=")</f>
        <v>#REF!</v>
      </c>
      <c r="FA124" t="e">
        <f>AND(Sheet1!#REF!,"AAAAAH/3/5w=")</f>
        <v>#REF!</v>
      </c>
      <c r="FB124" t="e">
        <f>AND(Sheet1!#REF!,"AAAAAH/3/50=")</f>
        <v>#REF!</v>
      </c>
      <c r="FC124" t="e">
        <f>AND(Sheet1!#REF!,"AAAAAH/3/54=")</f>
        <v>#REF!</v>
      </c>
      <c r="FD124" t="e">
        <f>AND(Sheet1!#REF!,"AAAAAH/3/58=")</f>
        <v>#REF!</v>
      </c>
      <c r="FE124" t="e">
        <f>AND(Sheet1!#REF!,"AAAAAH/3/6A=")</f>
        <v>#REF!</v>
      </c>
      <c r="FF124" t="e">
        <f>AND(Sheet1!#REF!,"AAAAAH/3/6E=")</f>
        <v>#REF!</v>
      </c>
      <c r="FG124" t="e">
        <f>AND(Sheet1!#REF!,"AAAAAH/3/6I=")</f>
        <v>#REF!</v>
      </c>
      <c r="FH124" t="e">
        <f>AND(Sheet1!#REF!,"AAAAAH/3/6M=")</f>
        <v>#REF!</v>
      </c>
      <c r="FI124" t="e">
        <f>AND(Sheet1!#REF!,"AAAAAH/3/6Q=")</f>
        <v>#REF!</v>
      </c>
      <c r="FJ124" t="e">
        <f>AND(Sheet1!#REF!,"AAAAAH/3/6U=")</f>
        <v>#REF!</v>
      </c>
      <c r="FK124" t="e">
        <f>AND(Sheet1!#REF!,"AAAAAH/3/6Y=")</f>
        <v>#REF!</v>
      </c>
      <c r="FL124" t="e">
        <f>IF(Sheet1!#REF!,"AAAAAH/3/6c=",0)</f>
        <v>#REF!</v>
      </c>
      <c r="FM124" t="e">
        <f>AND(Sheet1!#REF!,"AAAAAH/3/6g=")</f>
        <v>#REF!</v>
      </c>
      <c r="FN124" t="e">
        <f>AND(Sheet1!#REF!,"AAAAAH/3/6k=")</f>
        <v>#REF!</v>
      </c>
      <c r="FO124" t="e">
        <f>AND(Sheet1!#REF!,"AAAAAH/3/6o=")</f>
        <v>#REF!</v>
      </c>
      <c r="FP124" t="e">
        <f>AND(Sheet1!#REF!,"AAAAAH/3/6s=")</f>
        <v>#REF!</v>
      </c>
      <c r="FQ124" t="e">
        <f>AND(Sheet1!#REF!,"AAAAAH/3/6w=")</f>
        <v>#REF!</v>
      </c>
      <c r="FR124" t="e">
        <f>AND(Sheet1!#REF!,"AAAAAH/3/60=")</f>
        <v>#REF!</v>
      </c>
      <c r="FS124" t="e">
        <f>AND(Sheet1!#REF!,"AAAAAH/3/64=")</f>
        <v>#REF!</v>
      </c>
      <c r="FT124" t="e">
        <f>AND(Sheet1!#REF!,"AAAAAH/3/68=")</f>
        <v>#REF!</v>
      </c>
      <c r="FU124" t="e">
        <f>AND(Sheet1!#REF!,"AAAAAH/3/7A=")</f>
        <v>#REF!</v>
      </c>
      <c r="FV124" t="e">
        <f>AND(Sheet1!#REF!,"AAAAAH/3/7E=")</f>
        <v>#REF!</v>
      </c>
      <c r="FW124" t="e">
        <f>AND(Sheet1!#REF!,"AAAAAH/3/7I=")</f>
        <v>#REF!</v>
      </c>
      <c r="FX124" t="e">
        <f>AND(Sheet1!#REF!,"AAAAAH/3/7M=")</f>
        <v>#REF!</v>
      </c>
      <c r="FY124" t="e">
        <f>AND(Sheet1!#REF!,"AAAAAH/3/7Q=")</f>
        <v>#REF!</v>
      </c>
      <c r="FZ124" t="e">
        <f>AND(Sheet1!#REF!,"AAAAAH/3/7U=")</f>
        <v>#REF!</v>
      </c>
      <c r="GA124" t="e">
        <f>AND(Sheet1!#REF!,"AAAAAH/3/7Y=")</f>
        <v>#REF!</v>
      </c>
      <c r="GB124" t="e">
        <f>IF(Sheet1!#REF!,"AAAAAH/3/7c=",0)</f>
        <v>#REF!</v>
      </c>
      <c r="GC124" t="e">
        <f>AND(Sheet1!#REF!,"AAAAAH/3/7g=")</f>
        <v>#REF!</v>
      </c>
      <c r="GD124" t="e">
        <f>AND(Sheet1!#REF!,"AAAAAH/3/7k=")</f>
        <v>#REF!</v>
      </c>
      <c r="GE124" t="e">
        <f>AND(Sheet1!A25,"AAAAAH/3/7o=")</f>
        <v>#VALUE!</v>
      </c>
      <c r="GF124" t="e">
        <f>AND(Sheet1!E25,"AAAAAH/3/7s=")</f>
        <v>#VALUE!</v>
      </c>
      <c r="GG124" t="e">
        <f>AND(Sheet1!#REF!,"AAAAAH/3/7w=")</f>
        <v>#REF!</v>
      </c>
      <c r="GH124" t="e">
        <f>AND(Sheet1!#REF!,"AAAAAH/3/70=")</f>
        <v>#REF!</v>
      </c>
      <c r="GI124" t="e">
        <f>AND(Sheet1!G25,"AAAAAH/3/74=")</f>
        <v>#VALUE!</v>
      </c>
      <c r="GJ124" t="e">
        <f>AND(Sheet1!#REF!,"AAAAAH/3/78=")</f>
        <v>#REF!</v>
      </c>
      <c r="GK124" t="e">
        <f>AND(Sheet1!I25,"AAAAAH/3/8A=")</f>
        <v>#VALUE!</v>
      </c>
      <c r="GL124" t="e">
        <f>AND(Sheet1!#REF!,"AAAAAH/3/8E=")</f>
        <v>#REF!</v>
      </c>
      <c r="GM124" t="e">
        <f>AND(Sheet1!#REF!,"AAAAAH/3/8I=")</f>
        <v>#REF!</v>
      </c>
      <c r="GN124" t="e">
        <f>AND(Sheet1!#REF!,"AAAAAH/3/8M=")</f>
        <v>#REF!</v>
      </c>
      <c r="GO124" t="e">
        <f>AND(Sheet1!#REF!,"AAAAAH/3/8Q=")</f>
        <v>#REF!</v>
      </c>
      <c r="GP124" t="e">
        <f>AND(Sheet1!#REF!,"AAAAAH/3/8U=")</f>
        <v>#REF!</v>
      </c>
      <c r="GQ124" t="e">
        <f>AND(Sheet1!#REF!,"AAAAAH/3/8Y=")</f>
        <v>#REF!</v>
      </c>
      <c r="GR124" t="e">
        <f>IF(Sheet1!#REF!,"AAAAAH/3/8c=",0)</f>
        <v>#REF!</v>
      </c>
      <c r="GS124" t="e">
        <f>AND(Sheet1!#REF!,"AAAAAH/3/8g=")</f>
        <v>#REF!</v>
      </c>
      <c r="GT124" t="e">
        <f>AND(Sheet1!#REF!,"AAAAAH/3/8k=")</f>
        <v>#REF!</v>
      </c>
      <c r="GU124" t="e">
        <f>AND(Sheet1!#REF!,"AAAAAH/3/8o=")</f>
        <v>#REF!</v>
      </c>
      <c r="GV124" t="e">
        <f>AND(Sheet1!#REF!,"AAAAAH/3/8s=")</f>
        <v>#REF!</v>
      </c>
      <c r="GW124" t="e">
        <f>AND(Sheet1!#REF!,"AAAAAH/3/8w=")</f>
        <v>#REF!</v>
      </c>
      <c r="GX124" t="e">
        <f>AND(Sheet1!#REF!,"AAAAAH/3/80=")</f>
        <v>#REF!</v>
      </c>
      <c r="GY124" t="e">
        <f>AND(Sheet1!#REF!,"AAAAAH/3/84=")</f>
        <v>#REF!</v>
      </c>
      <c r="GZ124" t="e">
        <f>AND(Sheet1!#REF!,"AAAAAH/3/88=")</f>
        <v>#REF!</v>
      </c>
      <c r="HA124" t="e">
        <f>AND(Sheet1!#REF!,"AAAAAH/3/9A=")</f>
        <v>#REF!</v>
      </c>
      <c r="HB124" t="e">
        <f>AND(Sheet1!#REF!,"AAAAAH/3/9E=")</f>
        <v>#REF!</v>
      </c>
      <c r="HC124" t="e">
        <f>AND(Sheet1!#REF!,"AAAAAH/3/9I=")</f>
        <v>#REF!</v>
      </c>
      <c r="HD124" t="e">
        <f>AND(Sheet1!#REF!,"AAAAAH/3/9M=")</f>
        <v>#REF!</v>
      </c>
      <c r="HE124" t="e">
        <f>AND(Sheet1!#REF!,"AAAAAH/3/9Q=")</f>
        <v>#REF!</v>
      </c>
      <c r="HF124" t="e">
        <f>AND(Sheet1!#REF!,"AAAAAH/3/9U=")</f>
        <v>#REF!</v>
      </c>
      <c r="HG124" t="e">
        <f>AND(Sheet1!#REF!,"AAAAAH/3/9Y=")</f>
        <v>#REF!</v>
      </c>
      <c r="HH124" t="e">
        <f>IF(Sheet1!#REF!,"AAAAAH/3/9c=",0)</f>
        <v>#REF!</v>
      </c>
      <c r="HI124" t="e">
        <f>AND(Sheet1!#REF!,"AAAAAH/3/9g=")</f>
        <v>#REF!</v>
      </c>
      <c r="HJ124" t="e">
        <f>AND(Sheet1!#REF!,"AAAAAH/3/9k=")</f>
        <v>#REF!</v>
      </c>
      <c r="HK124" t="e">
        <f>AND(Sheet1!#REF!,"AAAAAH/3/9o=")</f>
        <v>#REF!</v>
      </c>
      <c r="HL124" t="e">
        <f>AND(Sheet1!#REF!,"AAAAAH/3/9s=")</f>
        <v>#REF!</v>
      </c>
      <c r="HM124" t="e">
        <f>AND(Sheet1!#REF!,"AAAAAH/3/9w=")</f>
        <v>#REF!</v>
      </c>
      <c r="HN124" t="e">
        <f>AND(Sheet1!#REF!,"AAAAAH/3/90=")</f>
        <v>#REF!</v>
      </c>
      <c r="HO124" t="e">
        <f>AND(Sheet1!#REF!,"AAAAAH/3/94=")</f>
        <v>#REF!</v>
      </c>
      <c r="HP124" t="e">
        <f>AND(Sheet1!#REF!,"AAAAAH/3/98=")</f>
        <v>#REF!</v>
      </c>
      <c r="HQ124" t="e">
        <f>AND(Sheet1!#REF!,"AAAAAH/3/+A=")</f>
        <v>#REF!</v>
      </c>
      <c r="HR124" t="e">
        <f>AND(Sheet1!#REF!,"AAAAAH/3/+E=")</f>
        <v>#REF!</v>
      </c>
      <c r="HS124" t="e">
        <f>AND(Sheet1!#REF!,"AAAAAH/3/+I=")</f>
        <v>#REF!</v>
      </c>
      <c r="HT124" t="e">
        <f>AND(Sheet1!#REF!,"AAAAAH/3/+M=")</f>
        <v>#REF!</v>
      </c>
      <c r="HU124" t="e">
        <f>AND(Sheet1!#REF!,"AAAAAH/3/+Q=")</f>
        <v>#REF!</v>
      </c>
      <c r="HV124" t="e">
        <f>AND(Sheet1!#REF!,"AAAAAH/3/+U=")</f>
        <v>#REF!</v>
      </c>
      <c r="HW124" t="e">
        <f>AND(Sheet1!#REF!,"AAAAAH/3/+Y=")</f>
        <v>#REF!</v>
      </c>
      <c r="HX124" t="e">
        <f>IF(Sheet1!#REF!,"AAAAAH/3/+c=",0)</f>
        <v>#REF!</v>
      </c>
      <c r="HY124" t="e">
        <f>AND(Sheet1!#REF!,"AAAAAH/3/+g=")</f>
        <v>#REF!</v>
      </c>
      <c r="HZ124" t="e">
        <f>AND(Sheet1!#REF!,"AAAAAH/3/+k=")</f>
        <v>#REF!</v>
      </c>
      <c r="IA124" t="e">
        <f>AND(Sheet1!#REF!,"AAAAAH/3/+o=")</f>
        <v>#REF!</v>
      </c>
      <c r="IB124" t="e">
        <f>AND(Sheet1!#REF!,"AAAAAH/3/+s=")</f>
        <v>#REF!</v>
      </c>
      <c r="IC124" t="e">
        <f>AND(Sheet1!#REF!,"AAAAAH/3/+w=")</f>
        <v>#REF!</v>
      </c>
      <c r="ID124" t="e">
        <f>AND(Sheet1!#REF!,"AAAAAH/3/+0=")</f>
        <v>#REF!</v>
      </c>
      <c r="IE124" t="e">
        <f>AND(Sheet1!#REF!,"AAAAAH/3/+4=")</f>
        <v>#REF!</v>
      </c>
      <c r="IF124" t="e">
        <f>AND(Sheet1!#REF!,"AAAAAH/3/+8=")</f>
        <v>#REF!</v>
      </c>
      <c r="IG124" t="e">
        <f>AND(Sheet1!#REF!,"AAAAAH/3//A=")</f>
        <v>#REF!</v>
      </c>
      <c r="IH124" t="e">
        <f>AND(Sheet1!#REF!,"AAAAAH/3//E=")</f>
        <v>#REF!</v>
      </c>
      <c r="II124" t="e">
        <f>AND(Sheet1!#REF!,"AAAAAH/3//I=")</f>
        <v>#REF!</v>
      </c>
      <c r="IJ124" t="e">
        <f>AND(Sheet1!#REF!,"AAAAAH/3//M=")</f>
        <v>#REF!</v>
      </c>
      <c r="IK124" t="e">
        <f>AND(Sheet1!#REF!,"AAAAAH/3//Q=")</f>
        <v>#REF!</v>
      </c>
      <c r="IL124" t="e">
        <f>AND(Sheet1!#REF!,"AAAAAH/3//U=")</f>
        <v>#REF!</v>
      </c>
      <c r="IM124" t="e">
        <f>AND(Sheet1!#REF!,"AAAAAH/3//Y=")</f>
        <v>#REF!</v>
      </c>
      <c r="IN124" t="e">
        <f>IF(Sheet1!#REF!,"AAAAAH/3//c=",0)</f>
        <v>#REF!</v>
      </c>
      <c r="IO124" t="e">
        <f>IF(Sheet1!#REF!,"AAAAAH/3//g=",0)</f>
        <v>#REF!</v>
      </c>
      <c r="IP124">
        <f>IF(Sheet1!A:A,"AAAAAH/3//k=",0)</f>
        <v>0</v>
      </c>
      <c r="IQ124">
        <f>IF(Sheet1!E:E,"AAAAAH/3//o=",0)</f>
        <v>0</v>
      </c>
      <c r="IR124">
        <f>IF(Sheet1!G:G,"AAAAAH/3//s=",0)</f>
        <v>0</v>
      </c>
      <c r="IS124">
        <f>IF(Sheet1!I:I,"AAAAAH/3//w=",0)</f>
        <v>0</v>
      </c>
      <c r="IT124" t="e">
        <f>IF(Sheet1!#REF!,"AAAAAH/3//0=",0)</f>
        <v>#REF!</v>
      </c>
      <c r="IU124" t="e">
        <f>IF(Sheet1!#REF!,"AAAAAH/3//4=",0)</f>
        <v>#REF!</v>
      </c>
      <c r="IV124" t="e">
        <f>IF(Sheet1!#REF!,"AAAAAH/3//8=",0)</f>
        <v>#REF!</v>
      </c>
    </row>
    <row r="125" spans="1:256" x14ac:dyDescent="0.15">
      <c r="A125" t="e">
        <f>IF(Sheet1!#REF!,"AAAAAHs+ewA=",0)</f>
        <v>#REF!</v>
      </c>
      <c r="B125" t="e">
        <f>IF(Sheet1!#REF!,"AAAAAHs+ewE=",0)</f>
        <v>#REF!</v>
      </c>
      <c r="C125" t="e">
        <f>IF(Sheet1!#REF!,"AAAAAHs+ewI=",0)</f>
        <v>#REF!</v>
      </c>
      <c r="D125" t="e">
        <f>IF(Sheet1!#REF!,"AAAAAHs+ewM=",0)</f>
        <v>#REF!</v>
      </c>
      <c r="E125" t="e">
        <f>IF(Sheet1!#REF!,"AAAAAHs+ewQ=",0)</f>
        <v>#REF!</v>
      </c>
      <c r="F125" t="e">
        <f>IF(Sheet1!#REF!,"AAAAAHs+ewU=",0)</f>
        <v>#REF!</v>
      </c>
      <c r="G125" t="e">
        <f>IF(Sheet1!#REF!,"AAAAAHs+ewY=",0)</f>
        <v>#REF!</v>
      </c>
      <c r="H125" t="e">
        <f>IF(Sheet1!#REF!,"AAAAAHs+ewc=",0)</f>
        <v>#REF!</v>
      </c>
      <c r="I125" s="2" t="s">
        <v>35</v>
      </c>
      <c r="J125" s="3" t="s">
        <v>36</v>
      </c>
      <c r="K125" s="1" t="s">
        <v>37</v>
      </c>
      <c r="L125" s="4" t="s">
        <v>38</v>
      </c>
      <c r="M125" s="5" t="s">
        <v>39</v>
      </c>
      <c r="N125" s="6" t="s">
        <v>40</v>
      </c>
      <c r="O125" s="7" t="s">
        <v>41</v>
      </c>
      <c r="P125" s="8" t="s">
        <v>42</v>
      </c>
      <c r="Q125" s="9" t="s">
        <v>43</v>
      </c>
      <c r="R125" t="e">
        <f>IF("N",[0]!_100408,"AAAAAHs+exE=")</f>
        <v>#VALUE!</v>
      </c>
      <c r="S125" t="e">
        <f>IF("N",[0]!_xlnm._FilterDatabase,"AAAAAHs+exI=")</f>
        <v>#VALUE!</v>
      </c>
      <c r="T125" t="e">
        <f>IF("N",[0]!_xlnm.Print_Area,"AAAAAHs+exM=")</f>
        <v>#VALUE!</v>
      </c>
      <c r="U125" t="e">
        <f>IF("N",[0]!_xlnm.Print_Titles,"AAAAAHs+exQ=")</f>
        <v>#VALUE!</v>
      </c>
      <c r="V125" t="e">
        <f>IF("N",[0]!_xlnm.Print_Titles,"AAAAAHs+exU=")</f>
        <v>#VALUE!</v>
      </c>
      <c r="W125" t="e">
        <f>IF("N",[0]!_xlnm.Print_Titles,"AAAAAHs+exY=")</f>
        <v>#VALUE!</v>
      </c>
      <c r="X125" t="e">
        <f>IF("N",[0]!_xlnm.Print_Titles,"AAAAAHs+exc=")</f>
        <v>#VALUE!</v>
      </c>
      <c r="Y125" t="e">
        <f>IF("N",[0]!_xlnm.Print_Titles,"AAAAAHs+exg=")</f>
        <v>#VALUE!</v>
      </c>
      <c r="Z125" t="e">
        <f>IF("N",[0]!_xlnm.Print_Titles,"AAAAAHs+exk=")</f>
        <v>#VALUE!</v>
      </c>
      <c r="AA125" t="e">
        <f>IF("N",[0]!_xlnm.Print_Titles,"AAAAAHs+exo=")</f>
        <v>#VALUE!</v>
      </c>
      <c r="AB125" t="e">
        <f>IF("N",[0]!_xlnm.Print_Titles,"AAAAAHs+exs=")</f>
        <v>#VALUE!</v>
      </c>
    </row>
    <row r="126" spans="1:256" x14ac:dyDescent="0.15">
      <c r="A126" t="e">
        <f>IF(Sheet1!#REF!,"AAAAAH+PvQA=",0)</f>
        <v>#REF!</v>
      </c>
      <c r="B126" t="e">
        <f>AND(Sheet1!#REF!,"AAAAAH+PvQE=")</f>
        <v>#REF!</v>
      </c>
      <c r="C126" t="e">
        <f>AND(Sheet1!#REF!,"AAAAAH+PvQI=")</f>
        <v>#REF!</v>
      </c>
      <c r="D126" t="e">
        <f>AND(Sheet1!#REF!,"AAAAAH+PvQM=")</f>
        <v>#REF!</v>
      </c>
      <c r="E126" t="e">
        <f>AND(Sheet1!#REF!,"AAAAAH+PvQQ=")</f>
        <v>#REF!</v>
      </c>
      <c r="F126" t="e">
        <f>AND(Sheet1!#REF!,"AAAAAH+PvQU=")</f>
        <v>#REF!</v>
      </c>
      <c r="G126" t="e">
        <f>AND(Sheet1!#REF!,"AAAAAH+PvQY=")</f>
        <v>#REF!</v>
      </c>
      <c r="H126" t="e">
        <f>AND(Sheet1!#REF!,"AAAAAH+PvQc=")</f>
        <v>#REF!</v>
      </c>
      <c r="I126" t="e">
        <f>AND(Sheet1!#REF!,"AAAAAH+PvQg=")</f>
        <v>#REF!</v>
      </c>
      <c r="J126" t="e">
        <f>AND(Sheet1!#REF!,"AAAAAH+PvQk=")</f>
        <v>#REF!</v>
      </c>
      <c r="K126" t="e">
        <f>AND(Sheet1!#REF!,"AAAAAH+PvQo=")</f>
        <v>#REF!</v>
      </c>
      <c r="L126" t="e">
        <f>AND(Sheet1!#REF!,"AAAAAH+PvQs=")</f>
        <v>#REF!</v>
      </c>
      <c r="M126" t="e">
        <f>AND(Sheet1!#REF!,"AAAAAH+PvQw=")</f>
        <v>#REF!</v>
      </c>
      <c r="N126" t="e">
        <f>AND(Sheet1!#REF!,"AAAAAH+PvQ0=")</f>
        <v>#REF!</v>
      </c>
      <c r="O126" t="e">
        <f>AND(Sheet1!#REF!,"AAAAAH+PvQ4=")</f>
        <v>#REF!</v>
      </c>
      <c r="P126" t="e">
        <f>AND(Sheet1!#REF!,"AAAAAH+PvQ8=")</f>
        <v>#REF!</v>
      </c>
    </row>
  </sheetData>
  <phoneticPr fontId="2"/>
  <pageMargins left="0.7" right="0.7" top="0.75" bottom="0.75" header="0.3" footer="0.3"/>
  <pageSetup paperSize="9" orientation="portrait" horizontalDpi="300" verticalDpi="300" r:id="rId1"/>
  <customProperties>
    <customPr name="DVSECTION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2007-10-24T03:12:55Z</cp:lastPrinted>
  <dcterms:created xsi:type="dcterms:W3CDTF">2000-07-28T07:28:01Z</dcterms:created>
  <dcterms:modified xsi:type="dcterms:W3CDTF">2021-01-08T03:30:24Z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1B8SQwseBwgmUyqNvB76oTLZGzM82dMC4KKFVN011VdE</vt:lpwstr>
  </property>
  <property fmtid="{D5CDD505-2E9C-101B-9397-08002B2CF9AE}" pid="4" name="Google.Documents.RevisionId">
    <vt:lpwstr>14456300467848315293</vt:lpwstr>
  </property>
  <property fmtid="{D5CDD505-2E9C-101B-9397-08002B2CF9AE}" pid="5" name="Google.Documents.PreviousRevisionId">
    <vt:lpwstr>04033200231452248880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